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24226"/>
  <mc:AlternateContent xmlns:mc="http://schemas.openxmlformats.org/markup-compatibility/2006">
    <mc:Choice Requires="x15">
      <x15ac:absPath xmlns:x15ac="http://schemas.microsoft.com/office/spreadsheetml/2010/11/ac" url="C:\Users\smcneill\Documents\BAE\Grain Storage webpage\"/>
    </mc:Choice>
  </mc:AlternateContent>
  <xr:revisionPtr revIDLastSave="0" documentId="8_{597A17F6-D37E-4FA8-994E-82FEBF2F7BFB}" xr6:coauthVersionLast="45" xr6:coauthVersionMax="45" xr10:uidLastSave="{00000000-0000-0000-0000-000000000000}"/>
  <bookViews>
    <workbookView xWindow="980" yWindow="230" windowWidth="18220" windowHeight="9970" xr2:uid="{00000000-000D-0000-FFFF-FFFF00000000}"/>
  </bookViews>
  <sheets>
    <sheet name="Main" sheetId="4" r:id="rId1"/>
    <sheet name="ISU Drying$" sheetId="11" r:id="rId2"/>
    <sheet name="Graphs" sheetId="12" r:id="rId3"/>
  </sheets>
  <definedNames>
    <definedName name="_xlnm.Print_Area" localSheetId="1">'ISU Drying$'!$C$1:$N$41</definedName>
    <definedName name="_xlnm.Print_Area" localSheetId="0">Main!$B$10:$J$47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1" l="1"/>
  <c r="O23" i="4" l="1"/>
  <c r="N23" i="4"/>
  <c r="M23" i="4"/>
  <c r="K11" i="11" l="1"/>
  <c r="L27" i="11" s="1"/>
  <c r="H27" i="11"/>
  <c r="J9" i="11"/>
  <c r="N9" i="11"/>
  <c r="H23" i="11"/>
  <c r="G23" i="11" s="1"/>
  <c r="L23" i="11"/>
  <c r="K23" i="11" s="1"/>
  <c r="H24" i="11"/>
  <c r="I24" i="11"/>
  <c r="L24" i="11"/>
  <c r="K24" i="11" s="1"/>
  <c r="M24" i="11"/>
  <c r="H28" i="11"/>
  <c r="G28" i="11" s="1"/>
  <c r="I28" i="11"/>
  <c r="L28" i="11"/>
  <c r="K28" i="11" s="1"/>
  <c r="M28" i="11"/>
  <c r="E35" i="11"/>
  <c r="K27" i="11" l="1"/>
  <c r="M27" i="11"/>
  <c r="L25" i="11"/>
  <c r="K25" i="11" s="1"/>
  <c r="G27" i="11"/>
  <c r="I27" i="11"/>
  <c r="H25" i="11"/>
  <c r="G25" i="11" s="1"/>
  <c r="G24" i="11"/>
  <c r="M23" i="11"/>
  <c r="L26" i="11"/>
  <c r="H26" i="11"/>
  <c r="I23" i="11"/>
  <c r="I25" i="11" l="1"/>
  <c r="H15" i="4" s="1"/>
  <c r="M25" i="11"/>
  <c r="J15" i="4" s="1"/>
  <c r="H30" i="11"/>
  <c r="G30" i="11" s="1"/>
  <c r="I26" i="11"/>
  <c r="G26" i="11"/>
  <c r="K26" i="11"/>
  <c r="M26" i="11"/>
  <c r="L30" i="11"/>
  <c r="K30" i="11" s="1"/>
  <c r="I15" i="4" l="1"/>
  <c r="I30" i="11"/>
  <c r="H16" i="4" s="1"/>
  <c r="E23" i="4"/>
  <c r="E24" i="4"/>
  <c r="E22" i="4"/>
  <c r="M30" i="11"/>
  <c r="J16" i="4" s="1"/>
  <c r="J45" i="4"/>
  <c r="I45" i="4"/>
  <c r="H45" i="4"/>
  <c r="G45" i="4"/>
  <c r="F45" i="4"/>
  <c r="E45" i="4"/>
  <c r="J37" i="4"/>
  <c r="I37" i="4"/>
  <c r="H37" i="4"/>
  <c r="G37" i="4"/>
  <c r="F37" i="4"/>
  <c r="E37" i="4"/>
  <c r="J29" i="4"/>
  <c r="I29" i="4"/>
  <c r="H29" i="4"/>
  <c r="G29" i="4"/>
  <c r="F29" i="4"/>
  <c r="E29" i="4"/>
  <c r="H21" i="4"/>
  <c r="G21" i="4"/>
  <c r="F21" i="4"/>
  <c r="E21" i="4"/>
  <c r="D21" i="4"/>
  <c r="C21" i="4"/>
  <c r="I16" i="4" l="1"/>
  <c r="F23" i="4"/>
  <c r="F22" i="4"/>
  <c r="F24" i="4"/>
  <c r="B32" i="4"/>
  <c r="C32" i="4" s="1"/>
  <c r="B31" i="4"/>
  <c r="C31" i="4" s="1"/>
  <c r="B30" i="4"/>
  <c r="B38" i="4" s="1"/>
  <c r="C38" i="4" s="1"/>
  <c r="L5" i="4"/>
  <c r="L6" i="4" s="1"/>
  <c r="L7" i="4" s="1"/>
  <c r="L8" i="4" s="1"/>
  <c r="L9" i="4" s="1"/>
  <c r="L10" i="4" s="1"/>
  <c r="L11" i="4" s="1"/>
  <c r="L12" i="4" s="1"/>
  <c r="L13" i="4" s="1"/>
  <c r="L14" i="4" s="1"/>
  <c r="L15" i="4" s="1"/>
  <c r="L16" i="4" s="1"/>
  <c r="L17" i="4" s="1"/>
  <c r="L18" i="4" s="1"/>
  <c r="L19" i="4" s="1"/>
  <c r="L20" i="4" s="1"/>
  <c r="L21" i="4" l="1"/>
  <c r="L22" i="4" s="1"/>
  <c r="H23" i="4"/>
  <c r="H24" i="4"/>
  <c r="H22" i="4"/>
  <c r="G23" i="4"/>
  <c r="G24" i="4"/>
  <c r="G22" i="4"/>
  <c r="D31" i="4"/>
  <c r="D32" i="4"/>
  <c r="B39" i="4"/>
  <c r="C39" i="4" s="1"/>
  <c r="D38" i="4"/>
  <c r="B46" i="4"/>
  <c r="C46" i="4" s="1"/>
  <c r="D46" i="4" s="1"/>
  <c r="B40" i="4"/>
  <c r="C30" i="4"/>
  <c r="D30" i="4" s="1"/>
  <c r="D39" i="4" l="1"/>
  <c r="B47" i="4"/>
  <c r="C47" i="4" s="1"/>
  <c r="D47" i="4" s="1"/>
  <c r="C40" i="4"/>
  <c r="D40" i="4" s="1"/>
  <c r="B48" i="4"/>
  <c r="C48" i="4" s="1"/>
  <c r="D48" i="4" s="1"/>
  <c r="G38" i="4" l="1"/>
  <c r="G46" i="4"/>
  <c r="G30" i="4"/>
  <c r="G47" i="4"/>
  <c r="G39" i="4"/>
  <c r="G31" i="4"/>
  <c r="G48" i="4"/>
  <c r="G32" i="4"/>
  <c r="G40" i="4"/>
  <c r="J46" i="4" l="1"/>
  <c r="J30" i="4"/>
  <c r="J38" i="4"/>
  <c r="H47" i="4"/>
  <c r="H39" i="4"/>
  <c r="H31" i="4"/>
  <c r="H46" i="4"/>
  <c r="H38" i="4"/>
  <c r="H30" i="4"/>
  <c r="I38" i="4"/>
  <c r="I30" i="4"/>
  <c r="I46" i="4"/>
  <c r="H48" i="4"/>
  <c r="H32" i="4"/>
  <c r="H40" i="4"/>
  <c r="I39" i="4"/>
  <c r="I47" i="4"/>
  <c r="I31" i="4"/>
  <c r="J39" i="4"/>
  <c r="J47" i="4"/>
  <c r="J31" i="4"/>
  <c r="J48" i="4"/>
  <c r="J40" i="4"/>
  <c r="J32" i="4"/>
  <c r="I48" i="4"/>
  <c r="I40" i="4"/>
  <c r="I32" i="4"/>
  <c r="C22" i="4"/>
  <c r="E38" i="4" l="1"/>
  <c r="E30" i="4"/>
  <c r="E46" i="4"/>
  <c r="D22" i="4"/>
  <c r="D23" i="4"/>
  <c r="D24" i="4"/>
  <c r="C24" i="4"/>
  <c r="C23" i="4"/>
  <c r="F48" i="4" l="1"/>
  <c r="F32" i="4"/>
  <c r="F40" i="4"/>
  <c r="E39" i="4"/>
  <c r="E31" i="4"/>
  <c r="E47" i="4"/>
  <c r="F47" i="4"/>
  <c r="F39" i="4"/>
  <c r="F31" i="4"/>
  <c r="E48" i="4"/>
  <c r="E32" i="4"/>
  <c r="E40" i="4"/>
  <c r="F38" i="4"/>
  <c r="F30" i="4"/>
  <c r="F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Economics Department</author>
    <author>William Edwards</author>
  </authors>
  <commentList>
    <comment ref="C5" authorId="0" shapeId="0" xr:uid="{00000000-0006-0000-0100-000001000000}">
      <text>
        <r>
          <rPr>
            <sz val="8"/>
            <color indexed="81"/>
            <rFont val="Tahoma"/>
            <family val="2"/>
          </rPr>
          <t>Place the cursor over cells with red triangles to read comments.</t>
        </r>
      </text>
    </comment>
    <comment ref="C9" authorId="0" shapeId="0" xr:uid="{00000000-0006-0000-0100-000002000000}">
      <text>
        <r>
          <rPr>
            <sz val="8"/>
            <color indexed="81"/>
            <rFont val="Tahoma"/>
            <family val="2"/>
          </rPr>
          <t>Choose one from pull down menu. Select link to see drying system table.</t>
        </r>
      </text>
    </comment>
    <comment ref="H24" authorId="1" shapeId="0" xr:uid="{00000000-0006-0000-0100-000003000000}">
      <text>
        <r>
          <rPr>
            <sz val="8"/>
            <color indexed="81"/>
            <rFont val="Tahoma"/>
            <family val="2"/>
          </rPr>
          <t>3% of initial investment annually</t>
        </r>
      </text>
    </comment>
    <comment ref="L24" authorId="1" shapeId="0" xr:uid="{00000000-0006-0000-0100-000004000000}">
      <text>
        <r>
          <rPr>
            <sz val="8"/>
            <color indexed="81"/>
            <rFont val="Tahoma"/>
            <family val="2"/>
          </rPr>
          <t>3% of initial investment annually</t>
        </r>
      </text>
    </comment>
    <comment ref="H25" authorId="1" shapeId="0" xr:uid="{00000000-0006-0000-0100-000005000000}">
      <text>
        <r>
          <rPr>
            <b/>
            <sz val="8"/>
            <color indexed="81"/>
            <rFont val="Tahoma"/>
            <family val="2"/>
          </rPr>
          <t>$/bu</t>
        </r>
        <r>
          <rPr>
            <sz val="8"/>
            <color indexed="81"/>
            <rFont val="Tahoma"/>
            <family val="2"/>
          </rPr>
          <t xml:space="preserve"> = % of energy from propane x Btu/lb. 
water removed x.72 lb. water/point x points 
removed/bu. x 1 gal. Propane/80,000 Btu x 
$/gal propane (price)</t>
        </r>
      </text>
    </comment>
    <comment ref="L25" authorId="1" shapeId="0" xr:uid="{00000000-0006-0000-0100-000006000000}">
      <text>
        <r>
          <rPr>
            <b/>
            <sz val="8"/>
            <color indexed="81"/>
            <rFont val="Tahoma"/>
            <family val="2"/>
          </rPr>
          <t>$/bu</t>
        </r>
        <r>
          <rPr>
            <sz val="8"/>
            <color indexed="81"/>
            <rFont val="Tahoma"/>
            <family val="2"/>
          </rPr>
          <t xml:space="preserve"> = % of energy from propane x Btu/lb. 
water removed x.72 lb. water/point x points 
removed/bu. x 1 gal. Propane/80,000 Btu x 
$/gal propane (price)</t>
        </r>
      </text>
    </comment>
    <comment ref="H26" authorId="1" shapeId="0" xr:uid="{00000000-0006-0000-0100-000007000000}">
      <text>
        <r>
          <rPr>
            <b/>
            <sz val="8"/>
            <color indexed="81"/>
            <rFont val="Tahoma"/>
            <family val="2"/>
          </rPr>
          <t>$/bu</t>
        </r>
        <r>
          <rPr>
            <sz val="8"/>
            <color indexed="81"/>
            <rFont val="Tahoma"/>
            <family val="2"/>
          </rPr>
          <t xml:space="preserve"> = % of energy from electricity x Btu/lb. 
water removed x.72 lb. water/point x points 
removed/bu. x 1 Kw-hr. electricity/3413 Btu x 
$/Kw-hr. of electricity (price)</t>
        </r>
      </text>
    </comment>
    <comment ref="L26" authorId="1" shapeId="0" xr:uid="{00000000-0006-0000-0100-000008000000}">
      <text>
        <r>
          <rPr>
            <b/>
            <sz val="8"/>
            <color indexed="81"/>
            <rFont val="Tahoma"/>
            <family val="2"/>
          </rPr>
          <t>$/bu</t>
        </r>
        <r>
          <rPr>
            <sz val="8"/>
            <color indexed="81"/>
            <rFont val="Tahoma"/>
            <family val="2"/>
          </rPr>
          <t xml:space="preserve"> = % of energy from electricity x Btu/lb. 
water removed x.72 lb. water/point x points 
removed/bu. x 1 Kw-hr. electricity/3413 Btu x 
$/Kw-hr. of electricity (price)</t>
        </r>
      </text>
    </comment>
  </commentList>
</comments>
</file>

<file path=xl/sharedStrings.xml><?xml version="1.0" encoding="utf-8"?>
<sst xmlns="http://schemas.openxmlformats.org/spreadsheetml/2006/main" count="106" uniqueCount="90">
  <si>
    <t xml:space="preserve">   Princeton, KY 42445-0469</t>
  </si>
  <si>
    <t>Expected Yield (bu/ac)</t>
  </si>
  <si>
    <t>Harvest Loss (bu/ac)</t>
  </si>
  <si>
    <t xml:space="preserve">   Samuel G. McNeill, PhD, PE</t>
  </si>
  <si>
    <t xml:space="preserve">   Biosystems and Agricultural Engineering Dept</t>
  </si>
  <si>
    <t xml:space="preserve">   UK Research and Education Center</t>
  </si>
  <si>
    <t xml:space="preserve">   sam.mcneill@uky.edu</t>
  </si>
  <si>
    <t>Dryer not paid for</t>
  </si>
  <si>
    <t>Dryer paid for</t>
  </si>
  <si>
    <r>
      <t>Total Cost</t>
    </r>
    <r>
      <rPr>
        <sz val="10"/>
        <rFont val="Arial"/>
      </rPr>
      <t xml:space="preserve"> $/bu:</t>
    </r>
  </si>
  <si>
    <r>
      <t>Energy cost</t>
    </r>
    <r>
      <rPr>
        <sz val="10"/>
        <rFont val="Arial"/>
      </rPr>
      <t xml:space="preserve"> $/bu:</t>
    </r>
  </si>
  <si>
    <t xml:space="preserve">Value of HL ($ /ac) </t>
  </si>
  <si>
    <t>Low harvest loss:</t>
  </si>
  <si>
    <t>Average harvest loss:</t>
  </si>
  <si>
    <t>High harvest loss:</t>
  </si>
  <si>
    <t>Avg. corn price, $/bu</t>
  </si>
  <si>
    <t>LP gas ($/gal)</t>
  </si>
  <si>
    <t>Cost comparison between corn harvest losses and heated air drying ($/ac) for average</t>
  </si>
  <si>
    <t>corn and energy prices, estimated dryer efficiency, and range of expected yield levels.</t>
  </si>
  <si>
    <t>Location</t>
  </si>
  <si>
    <t>$/bu</t>
  </si>
  <si>
    <t>Cash</t>
  </si>
  <si>
    <t>Fall</t>
  </si>
  <si>
    <t>Jan</t>
  </si>
  <si>
    <t>Avg.</t>
  </si>
  <si>
    <t xml:space="preserve">   Extension Professor</t>
  </si>
  <si>
    <t xml:space="preserve">   Ph: 859-562-1326</t>
  </si>
  <si>
    <t>Ky Farm Bureau report on Aug. 24, 2022.</t>
  </si>
  <si>
    <r>
      <t xml:space="preserve">Returns to </t>
    </r>
    <r>
      <rPr>
        <b/>
        <sz val="10"/>
        <color indexed="53"/>
        <rFont val="Arial"/>
        <family val="2"/>
      </rPr>
      <t xml:space="preserve">Energy Cost </t>
    </r>
    <r>
      <rPr>
        <sz val="10"/>
        <rFont val="Arial"/>
        <family val="2"/>
      </rPr>
      <t>for various points, $/ac</t>
    </r>
  </si>
  <si>
    <r>
      <rPr>
        <sz val="10"/>
        <rFont val="Arial"/>
        <family val="2"/>
      </rPr>
      <t xml:space="preserve">Returns to </t>
    </r>
    <r>
      <rPr>
        <b/>
        <sz val="10"/>
        <color indexed="57"/>
        <rFont val="Arial"/>
        <family val="2"/>
      </rPr>
      <t>Total Cost</t>
    </r>
    <r>
      <rPr>
        <sz val="10"/>
        <rFont val="Arial"/>
      </rPr>
      <t xml:space="preserve"> for various Points</t>
    </r>
  </si>
  <si>
    <r>
      <t xml:space="preserve">  </t>
    </r>
    <r>
      <rPr>
        <b/>
        <sz val="10"/>
        <color indexed="53"/>
        <rFont val="Arial"/>
        <family val="2"/>
      </rPr>
      <t>Energy Cost</t>
    </r>
    <r>
      <rPr>
        <sz val="10"/>
        <rFont val="Arial"/>
      </rPr>
      <t xml:space="preserve"> to dry various points, $/ac</t>
    </r>
  </si>
  <si>
    <r>
      <t>Total Cost</t>
    </r>
    <r>
      <rPr>
        <sz val="10"/>
        <rFont val="Arial"/>
      </rPr>
      <t xml:space="preserve"> to dry various points, $/ac</t>
    </r>
  </si>
  <si>
    <t>Source: Dept. Ag and Biosystems Engineering, Iowa State University</t>
  </si>
  <si>
    <t>6. High temperature, no air recirculating</t>
  </si>
  <si>
    <t>5. High temperature, air recirculating</t>
  </si>
  <si>
    <t>4. In-bin, continuous flow</t>
  </si>
  <si>
    <t>3. In-bin, stirred</t>
  </si>
  <si>
    <t>2. Low temperature</t>
  </si>
  <si>
    <t>1. Natural air</t>
  </si>
  <si>
    <t>Type of System</t>
  </si>
  <si>
    <t>Percent of energy from electricity</t>
  </si>
  <si>
    <t>Btu of energy needed per lb. of water removed</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</si>
  <si>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</si>
  <si>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t>
  </si>
  <si>
    <t>. . . and justice for all</t>
  </si>
  <si>
    <t>Date Printed:</t>
  </si>
  <si>
    <t>Author: William Edwards</t>
  </si>
  <si>
    <t>Version 1.2</t>
  </si>
  <si>
    <t>Total drying cost</t>
  </si>
  <si>
    <t>Labor cost</t>
  </si>
  <si>
    <t>Handling cost</t>
  </si>
  <si>
    <t>Electricity cost</t>
  </si>
  <si>
    <t>Propane cost</t>
  </si>
  <si>
    <t>Repair and maintenance cost</t>
  </si>
  <si>
    <t>Depreciation and interest cost</t>
  </si>
  <si>
    <t>Cost / point</t>
  </si>
  <si>
    <t>Cost / bu.</t>
  </si>
  <si>
    <t>Cost / year</t>
  </si>
  <si>
    <t>Initial investment in drying system</t>
  </si>
  <si>
    <t>Total bushels to dry per year</t>
  </si>
  <si>
    <t>Ending moisture of grain, average</t>
  </si>
  <si>
    <t>Beginning moisture of grain, average</t>
  </si>
  <si>
    <t>Dryer capacity, bushels per hour</t>
  </si>
  <si>
    <t>Percent of drying time labor is needed</t>
  </si>
  <si>
    <t>Wage rate for labor used to operate the dryer</t>
  </si>
  <si>
    <t>Interest rate for long-term loans</t>
  </si>
  <si>
    <t>Cost of electricity, $/Kwh</t>
  </si>
  <si>
    <t>Cost of propane, $/gallon</t>
  </si>
  <si>
    <t>Type of drying system</t>
  </si>
  <si>
    <t>Drying System 2</t>
  </si>
  <si>
    <t>Drying System 1</t>
  </si>
  <si>
    <t>Enter your input values in shaded cells.</t>
  </si>
  <si>
    <t>Place the cursor over cells with red triangles to read comments.</t>
  </si>
  <si>
    <r>
      <t xml:space="preserve">See AgDM File A2-31, </t>
    </r>
    <r>
      <rPr>
        <u/>
        <sz val="10"/>
        <color rgb="FFC00000"/>
        <rFont val="Arial"/>
        <family val="2"/>
      </rPr>
      <t>Estimating The Cost for Drying Corn</t>
    </r>
    <r>
      <rPr>
        <sz val="10"/>
        <rFont val="Arial"/>
        <family val="2"/>
      </rPr>
      <t xml:space="preserve"> for more information.</t>
    </r>
  </si>
  <si>
    <t>Ag Decision Maker A2-31 -- Iowa State University Extension and Outreach</t>
  </si>
  <si>
    <t>Comparison of Drying Systems</t>
  </si>
  <si>
    <t>Costs for various pts ($/bu)</t>
  </si>
  <si>
    <t xml:space="preserve">Updated by: </t>
  </si>
  <si>
    <t>Drying costs</t>
  </si>
  <si>
    <t>Total drying costs include energy, equipment depreciation, maintenance, handling and labor.</t>
  </si>
  <si>
    <t>Energy cost based on price for LP gas (or equivalent for NG) and 11 cents/kwh for electricity.</t>
  </si>
  <si>
    <t>Cost, $/ac</t>
  </si>
  <si>
    <t>Yield, bu/ac</t>
  </si>
  <si>
    <t>3 pts</t>
  </si>
  <si>
    <t>7 pts</t>
  </si>
  <si>
    <t>11 pts</t>
  </si>
  <si>
    <t>8% HL</t>
  </si>
  <si>
    <t>5% HL</t>
  </si>
  <si>
    <t>2% HL</t>
  </si>
  <si>
    <t>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</si>
</sst>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000"/>
    <numFmt numFmtId="167" formatCode="_(&quot;$&quot;* #,##0.000_);_(&quot;$&quot;* \(#,##0.000\);_(&quot;$&quot;* &quot;-&quot;???_);_(@_)"/>
    <numFmt numFmtId="168" formatCode="_(&quot;$&quot;* #,##0.000_);_(&quot;$&quot;* \(#,##0.000\);_(&quot;$&quot;* &quot;-&quot;??_);_(@_)"/>
  </numFmts>
  <fonts count="24" x14ac:knownFonts="1">
    <font>
      <sz val="10"/>
      <name val="Arial"/>
    </font>
    <font>
      <sz val="10"/>
      <name val="Arial"/>
    </font>
    <font>
      <u/>
      <sz val="10"/>
      <color indexed="12"/>
      <name val="Arial"/>
      <family val="2"/>
    </font>
    <font>
      <sz val="10"/>
      <name val="Arial"/>
      <family val="2"/>
    </font>
    <font>
      <b/>
      <sz val="10"/>
      <color indexed="12"/>
      <name val="Arial"/>
      <family val="2"/>
    </font>
    <font>
      <b/>
      <sz val="10"/>
      <color indexed="53"/>
      <name val="Arial"/>
      <family val="2"/>
    </font>
    <font>
      <b/>
      <sz val="10"/>
      <color indexed="57"/>
      <name val="Arial"/>
      <family val="2"/>
    </font>
    <font>
      <b/>
      <sz val="10"/>
      <name val="Arial"/>
      <family val="2"/>
    </font>
    <font>
      <b/>
      <sz val="10"/>
      <color rgb="FF0000FF"/>
      <name val="Arial"/>
      <family val="2"/>
    </font>
    <font>
      <sz val="10"/>
      <color theme="1"/>
      <name val="Arial"/>
      <family val="2"/>
    </font>
    <font>
      <sz val="9"/>
      <name val="Arial"/>
      <family val="2"/>
    </font>
    <font>
      <b/>
      <sz val="9"/>
      <name val="Arial"/>
      <family val="2"/>
    </font>
    <font>
      <sz val="6"/>
      <color indexed="63"/>
      <name val="Univers"/>
      <family val="2"/>
    </font>
    <font>
      <sz val="6"/>
      <name val="Arial"/>
      <family val="2"/>
    </font>
    <font>
      <b/>
      <sz val="10"/>
      <color indexed="60"/>
      <name val="Arial"/>
      <family val="2"/>
    </font>
    <font>
      <u/>
      <sz val="10"/>
      <color rgb="FFC00000"/>
      <name val="Arial"/>
      <family val="2"/>
    </font>
    <font>
      <u val="singleAccounting"/>
      <sz val="10"/>
      <name val="Arial"/>
      <family val="2"/>
    </font>
    <font>
      <sz val="10"/>
      <color indexed="9"/>
      <name val="Arial"/>
      <family val="2"/>
    </font>
    <font>
      <b/>
      <sz val="11"/>
      <name val="Arial"/>
      <family val="2"/>
    </font>
    <font>
      <b/>
      <sz val="11"/>
      <color indexed="63"/>
      <name val="Arial"/>
      <family val="2"/>
    </font>
    <font>
      <b/>
      <sz val="14"/>
      <color indexed="9"/>
      <name val="Arial"/>
      <family val="2"/>
    </font>
    <font>
      <b/>
      <sz val="8"/>
      <color indexed="81"/>
      <name val="Tahoma"/>
      <family val="2"/>
    </font>
    <font>
      <sz val="8"/>
      <color indexed="81"/>
      <name val="Tahoma"/>
      <family val="2"/>
    </font>
    <font>
      <sz val="10"/>
      <color theme="0" tint="-0.499984740745262"/>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9.9978637043366805E-2"/>
        <bgColor indexed="54"/>
      </patternFill>
    </fill>
    <fill>
      <patternFill patternType="solid">
        <fgColor indexed="26"/>
        <bgColor indexed="64"/>
      </patternFill>
    </fill>
    <fill>
      <patternFill patternType="solid">
        <fgColor rgb="FFC00000"/>
        <bgColor indexed="64"/>
      </patternFill>
    </fill>
  </fills>
  <borders count="23">
    <border>
      <left/>
      <right/>
      <top/>
      <bottom/>
      <diagonal/>
    </border>
    <border>
      <left/>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ck">
        <color theme="2" tint="-9.9948118533890809E-2"/>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176">
    <xf numFmtId="0" fontId="0" fillId="0" borderId="0" xfId="0"/>
    <xf numFmtId="0" fontId="3" fillId="0" borderId="0" xfId="3"/>
    <xf numFmtId="0" fontId="3" fillId="5" borderId="0" xfId="3" applyFill="1"/>
    <xf numFmtId="9" fontId="10" fillId="0" borderId="3" xfId="4" applyFont="1" applyBorder="1" applyAlignment="1" applyProtection="1">
      <alignment horizontal="center"/>
      <protection locked="0"/>
    </xf>
    <xf numFmtId="3" fontId="10" fillId="0" borderId="0" xfId="3" applyNumberFormat="1" applyFont="1" applyAlignment="1" applyProtection="1">
      <alignment horizontal="center"/>
      <protection locked="0"/>
    </xf>
    <xf numFmtId="0" fontId="10" fillId="0" borderId="15" xfId="3" applyFont="1" applyBorder="1"/>
    <xf numFmtId="0" fontId="11" fillId="0" borderId="15" xfId="3" applyFont="1" applyBorder="1"/>
    <xf numFmtId="0" fontId="3" fillId="0" borderId="16" xfId="3" applyBorder="1"/>
    <xf numFmtId="0" fontId="10" fillId="0" borderId="19" xfId="3" applyFont="1" applyBorder="1"/>
    <xf numFmtId="0" fontId="12" fillId="0" borderId="0" xfId="3" applyFont="1" applyAlignment="1">
      <alignment wrapText="1"/>
    </xf>
    <xf numFmtId="0" fontId="3" fillId="6" borderId="0" xfId="3" applyFill="1"/>
    <xf numFmtId="0" fontId="13" fillId="0" borderId="0" xfId="3" applyFont="1"/>
    <xf numFmtId="0" fontId="12" fillId="0" borderId="0" xfId="3" applyFont="1" applyAlignment="1">
      <alignment horizontal="left"/>
    </xf>
    <xf numFmtId="0" fontId="14" fillId="0" borderId="0" xfId="3" applyFont="1"/>
    <xf numFmtId="0" fontId="3" fillId="0" borderId="0" xfId="2" applyFont="1" applyAlignment="1" applyProtection="1">
      <alignment horizontal="left"/>
    </xf>
    <xf numFmtId="0" fontId="15" fillId="0" borderId="0" xfId="2" applyFont="1" applyAlignment="1" applyProtection="1">
      <alignment horizontal="left"/>
    </xf>
    <xf numFmtId="0" fontId="7" fillId="0" borderId="0" xfId="3" applyFont="1"/>
    <xf numFmtId="0" fontId="3" fillId="0" borderId="0" xfId="3" applyAlignment="1">
      <alignment horizontal="left"/>
    </xf>
    <xf numFmtId="167" fontId="7" fillId="0" borderId="0" xfId="3" applyNumberFormat="1" applyFont="1" applyAlignment="1">
      <alignment shrinkToFit="1"/>
    </xf>
    <xf numFmtId="42" fontId="7" fillId="0" borderId="0" xfId="5" applyNumberFormat="1" applyFont="1" applyBorder="1" applyAlignment="1">
      <alignment shrinkToFit="1"/>
    </xf>
    <xf numFmtId="0" fontId="3" fillId="0" borderId="0" xfId="3" applyAlignment="1">
      <alignment shrinkToFit="1"/>
    </xf>
    <xf numFmtId="42" fontId="3" fillId="0" borderId="0" xfId="5" applyNumberFormat="1" applyBorder="1" applyAlignment="1">
      <alignment shrinkToFit="1"/>
    </xf>
    <xf numFmtId="167" fontId="16" fillId="0" borderId="0" xfId="5" applyNumberFormat="1" applyFont="1" applyBorder="1" applyAlignment="1">
      <alignment shrinkToFit="1"/>
    </xf>
    <xf numFmtId="167" fontId="16" fillId="0" borderId="0" xfId="3" applyNumberFormat="1" applyFont="1" applyAlignment="1">
      <alignment shrinkToFit="1"/>
    </xf>
    <xf numFmtId="42" fontId="16" fillId="0" borderId="0" xfId="5" applyNumberFormat="1" applyFont="1" applyBorder="1" applyAlignment="1">
      <alignment shrinkToFit="1"/>
    </xf>
    <xf numFmtId="167" fontId="0" fillId="0" borderId="0" xfId="5" applyNumberFormat="1" applyFont="1" applyBorder="1" applyAlignment="1">
      <alignment shrinkToFit="1"/>
    </xf>
    <xf numFmtId="167" fontId="3" fillId="0" borderId="0" xfId="3" applyNumberFormat="1" applyAlignment="1">
      <alignment shrinkToFit="1"/>
    </xf>
    <xf numFmtId="167" fontId="3" fillId="0" borderId="0" xfId="5" applyNumberFormat="1" applyBorder="1" applyAlignment="1">
      <alignment shrinkToFit="1"/>
    </xf>
    <xf numFmtId="0" fontId="7" fillId="0" borderId="0" xfId="3" applyFont="1" applyAlignment="1">
      <alignment horizontal="left"/>
    </xf>
    <xf numFmtId="0" fontId="7" fillId="0" borderId="0" xfId="3" applyFont="1" applyAlignment="1">
      <alignment horizontal="center"/>
    </xf>
    <xf numFmtId="42" fontId="3" fillId="2" borderId="9" xfId="5" applyNumberFormat="1" applyFont="1" applyFill="1" applyBorder="1" applyAlignment="1" applyProtection="1">
      <alignment shrinkToFit="1"/>
      <protection locked="0"/>
    </xf>
    <xf numFmtId="41" fontId="3" fillId="2" borderId="9" xfId="6" applyNumberFormat="1" applyFont="1" applyFill="1" applyBorder="1" applyAlignment="1" applyProtection="1">
      <alignment shrinkToFit="1"/>
      <protection locked="0"/>
    </xf>
    <xf numFmtId="167" fontId="3" fillId="0" borderId="0" xfId="3" applyNumberFormat="1"/>
    <xf numFmtId="9" fontId="3" fillId="2" borderId="9" xfId="4" applyFont="1" applyFill="1" applyBorder="1" applyAlignment="1" applyProtection="1">
      <alignment shrinkToFit="1"/>
      <protection locked="0"/>
    </xf>
    <xf numFmtId="0" fontId="3" fillId="2" borderId="9" xfId="3" applyFill="1" applyBorder="1" applyAlignment="1" applyProtection="1">
      <alignment shrinkToFit="1"/>
      <protection locked="0"/>
    </xf>
    <xf numFmtId="9" fontId="3" fillId="2" borderId="9" xfId="4" applyFill="1" applyBorder="1" applyAlignment="1" applyProtection="1">
      <alignment shrinkToFit="1"/>
      <protection locked="0"/>
    </xf>
    <xf numFmtId="44" fontId="3" fillId="2" borderId="9" xfId="5" applyFill="1" applyBorder="1" applyAlignment="1" applyProtection="1">
      <alignment shrinkToFit="1"/>
      <protection locked="0"/>
    </xf>
    <xf numFmtId="0" fontId="3" fillId="0" borderId="8" xfId="3" applyBorder="1" applyProtection="1">
      <protection locked="0"/>
    </xf>
    <xf numFmtId="0" fontId="3" fillId="0" borderId="0" xfId="3" applyAlignment="1">
      <alignment horizontal="center"/>
    </xf>
    <xf numFmtId="0" fontId="17" fillId="0" borderId="0" xfId="3" applyFont="1" applyProtection="1">
      <protection locked="0"/>
    </xf>
    <xf numFmtId="0" fontId="10" fillId="0" borderId="0" xfId="3" applyFont="1" applyAlignment="1">
      <alignment horizontal="left"/>
    </xf>
    <xf numFmtId="0" fontId="10" fillId="0" borderId="0" xfId="3" applyFont="1"/>
    <xf numFmtId="0" fontId="2" fillId="0" borderId="0" xfId="2" applyAlignment="1" applyProtection="1">
      <alignment wrapText="1"/>
    </xf>
    <xf numFmtId="0" fontId="19" fillId="0" borderId="0" xfId="3" applyFont="1"/>
    <xf numFmtId="0" fontId="20" fillId="8" borderId="22" xfId="3" applyFont="1" applyFill="1" applyBorder="1"/>
    <xf numFmtId="44" fontId="8" fillId="0" borderId="18" xfId="1" applyFont="1" applyBorder="1" applyProtection="1">
      <protection locked="0"/>
    </xf>
    <xf numFmtId="44" fontId="4" fillId="0" borderId="14" xfId="0" applyNumberFormat="1" applyFont="1" applyBorder="1" applyProtection="1">
      <protection locked="0"/>
    </xf>
    <xf numFmtId="0" fontId="0" fillId="0" borderId="0" xfId="0" applyProtection="1"/>
    <xf numFmtId="0" fontId="3" fillId="0" borderId="3" xfId="0" applyFont="1" applyBorder="1" applyAlignment="1" applyProtection="1">
      <alignment horizontal="left"/>
    </xf>
    <xf numFmtId="0" fontId="0" fillId="0" borderId="0" xfId="0" applyAlignment="1" applyProtection="1">
      <alignment horizontal="right"/>
    </xf>
    <xf numFmtId="0" fontId="3" fillId="0" borderId="0" xfId="0" applyFont="1" applyAlignment="1" applyProtection="1">
      <alignment horizontal="right"/>
    </xf>
    <xf numFmtId="0" fontId="0" fillId="0" borderId="6" xfId="0" applyBorder="1" applyAlignment="1" applyProtection="1">
      <alignment horizontal="center"/>
    </xf>
    <xf numFmtId="0" fontId="0" fillId="0" borderId="3" xfId="0" applyBorder="1" applyAlignment="1" applyProtection="1">
      <alignment horizontal="center"/>
    </xf>
    <xf numFmtId="44" fontId="0" fillId="0" borderId="0" xfId="1" applyFont="1" applyProtection="1"/>
    <xf numFmtId="0" fontId="0" fillId="0" borderId="0" xfId="0" applyBorder="1" applyProtection="1"/>
    <xf numFmtId="0" fontId="3" fillId="0" borderId="0" xfId="0" applyFont="1" applyAlignment="1" applyProtection="1"/>
    <xf numFmtId="0" fontId="0" fillId="0" borderId="0" xfId="0" applyAlignment="1" applyProtection="1"/>
    <xf numFmtId="0" fontId="0" fillId="0" borderId="17" xfId="0" applyBorder="1" applyAlignment="1" applyProtection="1"/>
    <xf numFmtId="0" fontId="3" fillId="0" borderId="5" xfId="0" applyFont="1" applyBorder="1" applyAlignment="1" applyProtection="1">
      <alignment horizontal="right"/>
    </xf>
    <xf numFmtId="0" fontId="0" fillId="0" borderId="19" xfId="0" applyBorder="1" applyProtection="1"/>
    <xf numFmtId="0" fontId="0" fillId="0" borderId="12" xfId="0" applyBorder="1" applyProtection="1"/>
    <xf numFmtId="0" fontId="0" fillId="0" borderId="21" xfId="0" applyBorder="1" applyAlignment="1" applyProtection="1"/>
    <xf numFmtId="0" fontId="3" fillId="0" borderId="1" xfId="0" applyFont="1" applyBorder="1" applyAlignment="1" applyProtection="1">
      <alignment horizontal="right"/>
    </xf>
    <xf numFmtId="0" fontId="0" fillId="0" borderId="13" xfId="0" applyBorder="1" applyProtection="1"/>
    <xf numFmtId="0" fontId="3" fillId="0" borderId="6" xfId="0" applyFont="1" applyBorder="1" applyAlignment="1" applyProtection="1">
      <alignment horizontal="right"/>
    </xf>
    <xf numFmtId="0" fontId="8" fillId="0" borderId="8" xfId="0" applyFont="1" applyBorder="1" applyProtection="1"/>
    <xf numFmtId="0" fontId="8" fillId="0" borderId="6" xfId="0" applyFont="1" applyBorder="1" applyProtection="1"/>
    <xf numFmtId="0" fontId="0" fillId="0" borderId="0" xfId="0" applyBorder="1" applyAlignment="1" applyProtection="1">
      <alignment horizontal="right"/>
    </xf>
    <xf numFmtId="164" fontId="4" fillId="0" borderId="0" xfId="0" applyNumberFormat="1" applyFont="1" applyBorder="1" applyProtection="1"/>
    <xf numFmtId="0" fontId="5" fillId="0" borderId="12" xfId="0" applyFont="1" applyBorder="1" applyAlignment="1" applyProtection="1">
      <alignment horizontal="right"/>
    </xf>
    <xf numFmtId="168" fontId="0" fillId="0" borderId="0" xfId="1" applyNumberFormat="1" applyFont="1" applyBorder="1" applyProtection="1"/>
    <xf numFmtId="168" fontId="0" fillId="0" borderId="3" xfId="1" applyNumberFormat="1" applyFont="1" applyBorder="1" applyProtection="1"/>
    <xf numFmtId="0" fontId="0" fillId="0" borderId="15" xfId="0" applyFont="1" applyFill="1" applyBorder="1" applyAlignment="1" applyProtection="1">
      <alignment horizontal="right"/>
    </xf>
    <xf numFmtId="0" fontId="3" fillId="0" borderId="0" xfId="0" applyFont="1" applyBorder="1" applyAlignment="1" applyProtection="1">
      <alignment wrapText="1"/>
    </xf>
    <xf numFmtId="0" fontId="0" fillId="0" borderId="0" xfId="0" applyBorder="1" applyAlignment="1" applyProtection="1">
      <alignment wrapText="1"/>
    </xf>
    <xf numFmtId="164" fontId="8" fillId="0" borderId="0" xfId="0" applyNumberFormat="1" applyFont="1" applyBorder="1" applyProtection="1"/>
    <xf numFmtId="0" fontId="6" fillId="0" borderId="8" xfId="0" applyFont="1" applyBorder="1" applyAlignment="1" applyProtection="1">
      <alignment horizontal="right"/>
    </xf>
    <xf numFmtId="168" fontId="0" fillId="0" borderId="8" xfId="1" applyNumberFormat="1" applyFont="1" applyBorder="1" applyProtection="1"/>
    <xf numFmtId="168" fontId="0" fillId="0" borderId="6" xfId="1" applyNumberFormat="1" applyFont="1" applyBorder="1" applyProtection="1"/>
    <xf numFmtId="0" fontId="0" fillId="0" borderId="0" xfId="0" applyFont="1" applyFill="1" applyBorder="1" applyAlignment="1" applyProtection="1">
      <alignment horizontal="right"/>
    </xf>
    <xf numFmtId="164" fontId="3" fillId="0" borderId="0" xfId="0" applyNumberFormat="1" applyFont="1" applyBorder="1" applyProtection="1"/>
    <xf numFmtId="0" fontId="3" fillId="0" borderId="0" xfId="0" applyFont="1" applyBorder="1" applyAlignment="1" applyProtection="1">
      <alignment horizontal="right"/>
    </xf>
    <xf numFmtId="2" fontId="0" fillId="0" borderId="0" xfId="0" applyNumberFormat="1" applyBorder="1" applyProtection="1"/>
    <xf numFmtId="166" fontId="0" fillId="0" borderId="0" xfId="0" applyNumberFormat="1" applyProtection="1"/>
    <xf numFmtId="0" fontId="0" fillId="0" borderId="9" xfId="0" applyBorder="1" applyAlignment="1" applyProtection="1">
      <alignment horizontal="center"/>
    </xf>
    <xf numFmtId="0" fontId="4" fillId="3" borderId="9" xfId="0" applyFont="1" applyFill="1" applyBorder="1" applyAlignment="1" applyProtection="1">
      <alignment horizontal="center"/>
    </xf>
    <xf numFmtId="5" fontId="0" fillId="3" borderId="9" xfId="1" applyNumberFormat="1" applyFont="1" applyFill="1" applyBorder="1" applyAlignment="1" applyProtection="1">
      <alignment horizontal="center"/>
    </xf>
    <xf numFmtId="44" fontId="0" fillId="0" borderId="8" xfId="1" applyFont="1" applyBorder="1" applyProtection="1"/>
    <xf numFmtId="0" fontId="4" fillId="0" borderId="9" xfId="0" applyFont="1" applyFill="1" applyBorder="1" applyAlignment="1" applyProtection="1">
      <alignment horizontal="center"/>
    </xf>
    <xf numFmtId="5" fontId="0" fillId="0" borderId="9" xfId="1" applyNumberFormat="1" applyFont="1" applyFill="1" applyBorder="1" applyAlignment="1" applyProtection="1">
      <alignment horizontal="center"/>
    </xf>
    <xf numFmtId="0" fontId="3" fillId="0" borderId="3" xfId="0" applyFont="1" applyBorder="1" applyAlignment="1" applyProtection="1">
      <alignment horizontal="right"/>
    </xf>
    <xf numFmtId="44" fontId="0" fillId="0" borderId="0" xfId="0" applyNumberFormat="1" applyProtection="1"/>
    <xf numFmtId="44" fontId="0" fillId="4" borderId="0" xfId="0" applyNumberFormat="1" applyFill="1" applyProtection="1"/>
    <xf numFmtId="0" fontId="6" fillId="0" borderId="0" xfId="0" applyFont="1" applyBorder="1" applyAlignment="1" applyProtection="1">
      <alignment horizontal="right"/>
    </xf>
    <xf numFmtId="0" fontId="0" fillId="0" borderId="11" xfId="0" applyBorder="1" applyAlignment="1" applyProtection="1"/>
    <xf numFmtId="0" fontId="0" fillId="0" borderId="10" xfId="0" applyBorder="1" applyAlignment="1" applyProtection="1"/>
    <xf numFmtId="0" fontId="3" fillId="0" borderId="10" xfId="0" applyFont="1" applyBorder="1" applyAlignment="1" applyProtection="1">
      <alignment horizontal="right"/>
    </xf>
    <xf numFmtId="165" fontId="4" fillId="0" borderId="10" xfId="0" applyNumberFormat="1" applyFont="1" applyBorder="1" applyProtection="1"/>
    <xf numFmtId="0" fontId="0" fillId="0" borderId="10" xfId="0" applyBorder="1" applyAlignment="1" applyProtection="1">
      <alignment horizontal="left"/>
    </xf>
    <xf numFmtId="0" fontId="0" fillId="0" borderId="20" xfId="0" applyBorder="1" applyAlignment="1" applyProtection="1"/>
    <xf numFmtId="0" fontId="0" fillId="0" borderId="0" xfId="0" applyBorder="1" applyAlignment="1" applyProtection="1">
      <alignment horizontal="center"/>
    </xf>
    <xf numFmtId="0" fontId="3" fillId="0" borderId="0" xfId="0" applyFont="1" applyProtection="1"/>
    <xf numFmtId="0" fontId="0" fillId="0" borderId="0" xfId="0" applyBorder="1" applyAlignment="1" applyProtection="1">
      <alignment horizontal="center" wrapText="1"/>
    </xf>
    <xf numFmtId="0" fontId="0" fillId="0" borderId="15" xfId="0" applyBorder="1" applyAlignment="1" applyProtection="1">
      <alignment horizontal="center" wrapText="1"/>
    </xf>
    <xf numFmtId="0" fontId="0" fillId="0" borderId="0" xfId="0" applyBorder="1" applyAlignment="1" applyProtection="1"/>
    <xf numFmtId="0" fontId="0" fillId="0" borderId="15" xfId="0" applyBorder="1" applyAlignment="1" applyProtection="1">
      <alignment horizontal="center"/>
    </xf>
    <xf numFmtId="9" fontId="0" fillId="0" borderId="0" xfId="0" applyNumberFormat="1" applyBorder="1" applyAlignment="1" applyProtection="1">
      <alignment horizontal="right"/>
    </xf>
    <xf numFmtId="0" fontId="9" fillId="3" borderId="9" xfId="0" applyFont="1" applyFill="1" applyBorder="1" applyAlignment="1" applyProtection="1">
      <alignment horizontal="center"/>
    </xf>
    <xf numFmtId="164" fontId="0" fillId="3" borderId="9" xfId="0" applyNumberFormat="1" applyFill="1" applyBorder="1" applyAlignment="1" applyProtection="1">
      <alignment horizontal="center"/>
    </xf>
    <xf numFmtId="5" fontId="0" fillId="3" borderId="9" xfId="0" applyNumberFormat="1" applyFill="1" applyBorder="1" applyAlignment="1" applyProtection="1">
      <alignment horizontal="center"/>
    </xf>
    <xf numFmtId="5" fontId="0" fillId="0" borderId="0" xfId="1" applyNumberFormat="1" applyFont="1" applyFill="1" applyBorder="1" applyProtection="1"/>
    <xf numFmtId="44" fontId="0" fillId="0" borderId="0" xfId="0" applyNumberFormat="1" applyBorder="1" applyProtection="1"/>
    <xf numFmtId="44" fontId="0" fillId="0" borderId="0" xfId="1" applyNumberFormat="1" applyFont="1" applyBorder="1" applyProtection="1"/>
    <xf numFmtId="0" fontId="9" fillId="0" borderId="9" xfId="0" applyFont="1" applyFill="1" applyBorder="1" applyAlignment="1" applyProtection="1">
      <alignment horizontal="center"/>
    </xf>
    <xf numFmtId="164" fontId="0" fillId="0" borderId="9" xfId="0" applyNumberFormat="1" applyFill="1" applyBorder="1" applyAlignment="1" applyProtection="1">
      <alignment horizontal="center"/>
    </xf>
    <xf numFmtId="5" fontId="0" fillId="0" borderId="9" xfId="0" applyNumberFormat="1" applyFill="1" applyBorder="1" applyAlignment="1" applyProtection="1">
      <alignment horizontal="center"/>
    </xf>
    <xf numFmtId="0" fontId="0" fillId="0" borderId="10" xfId="0" applyBorder="1" applyProtection="1"/>
    <xf numFmtId="165" fontId="4" fillId="0" borderId="0" xfId="0" applyNumberFormat="1" applyFont="1" applyProtection="1"/>
    <xf numFmtId="0" fontId="0" fillId="0" borderId="0" xfId="0" applyBorder="1" applyAlignment="1" applyProtection="1">
      <alignment horizontal="left"/>
    </xf>
    <xf numFmtId="0" fontId="4" fillId="0" borderId="0" xfId="0" applyFont="1" applyFill="1" applyBorder="1" applyAlignment="1" applyProtection="1">
      <alignment horizontal="center"/>
    </xf>
    <xf numFmtId="164" fontId="0" fillId="0" borderId="0" xfId="0" applyNumberFormat="1" applyFill="1" applyBorder="1" applyAlignment="1" applyProtection="1">
      <alignment horizontal="center"/>
    </xf>
    <xf numFmtId="5" fontId="0" fillId="0" borderId="0" xfId="0" applyNumberFormat="1" applyFill="1" applyBorder="1" applyAlignment="1" applyProtection="1">
      <alignment horizontal="center"/>
    </xf>
    <xf numFmtId="5" fontId="0" fillId="0" borderId="0" xfId="1" applyNumberFormat="1" applyFont="1" applyFill="1" applyBorder="1" applyAlignment="1" applyProtection="1">
      <alignment horizontal="center"/>
    </xf>
    <xf numFmtId="0" fontId="3" fillId="0" borderId="0" xfId="0" applyFont="1" applyBorder="1" applyAlignment="1" applyProtection="1"/>
    <xf numFmtId="9" fontId="0" fillId="0" borderId="0" xfId="0" applyNumberFormat="1" applyAlignment="1" applyProtection="1">
      <alignment horizontal="right"/>
    </xf>
    <xf numFmtId="0" fontId="23" fillId="0" borderId="0" xfId="0" applyFont="1" applyProtection="1"/>
    <xf numFmtId="0" fontId="0" fillId="0" borderId="13"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wrapText="1"/>
    </xf>
    <xf numFmtId="0" fontId="3" fillId="0" borderId="19" xfId="0" applyFont="1" applyBorder="1" applyAlignment="1" applyProtection="1">
      <alignment horizontal="center" wrapText="1"/>
    </xf>
    <xf numFmtId="0" fontId="0" fillId="0" borderId="15" xfId="0" applyBorder="1" applyAlignment="1" applyProtection="1">
      <alignment horizontal="center" wrapText="1"/>
    </xf>
    <xf numFmtId="0" fontId="0" fillId="0" borderId="13" xfId="0" applyBorder="1" applyAlignment="1" applyProtection="1">
      <alignment horizontal="center" wrapText="1"/>
    </xf>
    <xf numFmtId="0" fontId="3" fillId="0" borderId="16" xfId="0" applyFont="1" applyBorder="1" applyAlignment="1" applyProtection="1">
      <alignment horizontal="center" wrapText="1"/>
    </xf>
    <xf numFmtId="0" fontId="3" fillId="0" borderId="12" xfId="0" applyFont="1" applyBorder="1" applyAlignment="1" applyProtection="1">
      <alignment horizontal="center" wrapText="1"/>
    </xf>
    <xf numFmtId="0" fontId="3" fillId="0" borderId="13"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6" xfId="0" applyFont="1" applyBorder="1" applyAlignment="1" applyProtection="1">
      <alignment horizontal="center" wrapText="1"/>
    </xf>
    <xf numFmtId="0" fontId="6" fillId="0" borderId="19" xfId="0" applyFont="1" applyBorder="1" applyAlignment="1" applyProtection="1">
      <alignment horizontal="center" wrapText="1"/>
    </xf>
    <xf numFmtId="0" fontId="6" fillId="0" borderId="16" xfId="0" applyFont="1" applyBorder="1" applyAlignment="1" applyProtection="1">
      <alignment horizontal="center" wrapText="1"/>
    </xf>
    <xf numFmtId="0" fontId="6" fillId="0" borderId="12" xfId="0" applyFont="1" applyBorder="1" applyAlignment="1" applyProtection="1">
      <alignment horizontal="center" wrapText="1"/>
    </xf>
    <xf numFmtId="0" fontId="6" fillId="0" borderId="13" xfId="0" applyFont="1" applyBorder="1" applyAlignment="1" applyProtection="1">
      <alignment horizontal="center" wrapText="1"/>
    </xf>
    <xf numFmtId="0" fontId="6" fillId="0" borderId="8" xfId="0" applyFont="1" applyBorder="1" applyAlignment="1" applyProtection="1">
      <alignment horizontal="center" wrapText="1"/>
    </xf>
    <xf numFmtId="0" fontId="6" fillId="0" borderId="6" xfId="0" applyFont="1" applyBorder="1" applyAlignment="1" applyProtection="1">
      <alignment horizontal="center" wrapText="1"/>
    </xf>
    <xf numFmtId="0" fontId="3" fillId="0" borderId="19" xfId="0" applyFont="1" applyBorder="1" applyAlignment="1" applyProtection="1">
      <alignment horizontal="center"/>
    </xf>
    <xf numFmtId="0" fontId="0" fillId="0" borderId="16" xfId="0" applyBorder="1" applyAlignment="1" applyProtection="1">
      <alignment horizontal="center"/>
    </xf>
    <xf numFmtId="0" fontId="0" fillId="0" borderId="12" xfId="0" applyBorder="1" applyAlignment="1" applyProtection="1">
      <alignment horizontal="center"/>
    </xf>
    <xf numFmtId="0" fontId="0" fillId="0" borderId="19" xfId="0" applyBorder="1" applyAlignment="1" applyProtection="1">
      <alignment horizontal="center"/>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20" xfId="0" applyBorder="1" applyAlignment="1" applyProtection="1">
      <alignment horizontal="center"/>
    </xf>
    <xf numFmtId="0" fontId="0" fillId="0" borderId="16" xfId="0" applyBorder="1" applyAlignment="1" applyProtection="1">
      <alignment horizontal="center" wrapText="1"/>
    </xf>
    <xf numFmtId="0" fontId="0" fillId="0" borderId="12" xfId="0" applyBorder="1" applyAlignment="1" applyProtection="1">
      <alignment horizontal="center" wrapText="1"/>
    </xf>
    <xf numFmtId="0" fontId="0" fillId="0" borderId="8" xfId="0" applyBorder="1" applyAlignment="1" applyProtection="1">
      <alignment horizontal="center" wrapText="1"/>
    </xf>
    <xf numFmtId="0" fontId="0" fillId="0" borderId="6" xfId="0" applyBorder="1" applyAlignment="1" applyProtection="1">
      <alignment horizontal="center" wrapText="1"/>
    </xf>
    <xf numFmtId="0" fontId="0" fillId="0" borderId="4" xfId="0" applyBorder="1" applyAlignment="1" applyProtection="1">
      <alignment horizontal="center" wrapText="1"/>
    </xf>
    <xf numFmtId="0" fontId="0" fillId="0" borderId="2" xfId="0" applyBorder="1" applyAlignment="1" applyProtection="1">
      <alignment horizontal="center" wrapText="1"/>
    </xf>
    <xf numFmtId="0" fontId="0" fillId="0" borderId="7" xfId="0" applyBorder="1" applyAlignment="1" applyProtection="1">
      <alignment horizontal="center" wrapText="1"/>
    </xf>
    <xf numFmtId="0" fontId="18" fillId="0" borderId="8" xfId="3" applyFont="1" applyBorder="1" applyAlignment="1">
      <alignment horizontal="center"/>
    </xf>
    <xf numFmtId="0" fontId="15" fillId="0" borderId="0" xfId="2" applyFont="1" applyBorder="1" applyAlignment="1" applyProtection="1">
      <alignment horizontal="left"/>
    </xf>
    <xf numFmtId="0" fontId="3" fillId="2" borderId="11" xfId="3" applyFill="1" applyBorder="1" applyAlignment="1" applyProtection="1">
      <alignment horizontal="left"/>
      <protection locked="0"/>
    </xf>
    <xf numFmtId="0" fontId="3" fillId="2" borderId="10" xfId="3" applyFill="1" applyBorder="1" applyAlignment="1" applyProtection="1">
      <alignment horizontal="left"/>
      <protection locked="0"/>
    </xf>
    <xf numFmtId="0" fontId="3" fillId="2" borderId="20" xfId="3" applyFill="1" applyBorder="1" applyAlignment="1" applyProtection="1">
      <alignment horizontal="left"/>
      <protection locked="0"/>
    </xf>
    <xf numFmtId="0" fontId="3" fillId="0" borderId="0" xfId="2" applyFont="1" applyAlignment="1" applyProtection="1">
      <alignment horizontal="left"/>
    </xf>
    <xf numFmtId="0" fontId="3" fillId="0" borderId="13" xfId="2" applyFont="1" applyBorder="1" applyAlignment="1" applyProtection="1">
      <alignment horizontal="left"/>
    </xf>
    <xf numFmtId="0" fontId="3" fillId="0" borderId="8" xfId="2" applyFont="1" applyBorder="1" applyAlignment="1" applyProtection="1">
      <alignment horizontal="left"/>
    </xf>
    <xf numFmtId="0" fontId="3" fillId="0" borderId="6" xfId="2" applyFont="1" applyBorder="1" applyAlignment="1" applyProtection="1">
      <alignment horizontal="left"/>
    </xf>
    <xf numFmtId="0" fontId="10" fillId="0" borderId="0" xfId="3" applyFont="1" applyAlignment="1">
      <alignment horizontal="left"/>
    </xf>
    <xf numFmtId="0" fontId="10" fillId="7" borderId="11" xfId="3" applyFont="1" applyFill="1" applyBorder="1" applyAlignment="1">
      <alignment horizontal="left"/>
    </xf>
    <xf numFmtId="0" fontId="10" fillId="7" borderId="10" xfId="3" applyFont="1" applyFill="1" applyBorder="1" applyAlignment="1">
      <alignment horizontal="left"/>
    </xf>
    <xf numFmtId="0" fontId="10" fillId="7" borderId="20" xfId="3" applyFont="1" applyFill="1" applyBorder="1" applyAlignment="1">
      <alignment horizontal="left"/>
    </xf>
    <xf numFmtId="14" fontId="3" fillId="0" borderId="0" xfId="3" applyNumberFormat="1" applyAlignment="1">
      <alignment horizontal="left"/>
    </xf>
    <xf numFmtId="0" fontId="12" fillId="0" borderId="0" xfId="3" applyFont="1" applyAlignment="1">
      <alignment horizontal="left" wrapText="1"/>
    </xf>
    <xf numFmtId="0" fontId="11" fillId="0" borderId="16" xfId="3" applyFont="1" applyBorder="1" applyAlignment="1">
      <alignment horizontal="center" wrapText="1"/>
    </xf>
    <xf numFmtId="0" fontId="11" fillId="0" borderId="0" xfId="3" applyFont="1" applyAlignment="1">
      <alignment horizontal="center" wrapText="1"/>
    </xf>
    <xf numFmtId="0" fontId="11" fillId="0" borderId="12" xfId="3" applyFont="1" applyBorder="1" applyAlignment="1">
      <alignment horizontal="center" wrapText="1"/>
    </xf>
    <xf numFmtId="0" fontId="11" fillId="0" borderId="3" xfId="3" applyFont="1" applyBorder="1" applyAlignment="1">
      <alignment horizontal="center" wrapText="1"/>
    </xf>
  </cellXfs>
  <cellStyles count="7">
    <cellStyle name="Comma 2" xfId="6" xr:uid="{2A22977A-6EF7-413D-84F3-C8E965E9F4D0}"/>
    <cellStyle name="Currency" xfId="1" builtinId="4"/>
    <cellStyle name="Currency 2" xfId="5" xr:uid="{29E916C5-F93C-43AE-817B-E6B3698A8B12}"/>
    <cellStyle name="Hyperlink" xfId="2" builtinId="8"/>
    <cellStyle name="Normal" xfId="0" builtinId="0"/>
    <cellStyle name="Normal 2" xfId="3" xr:uid="{00000000-0005-0000-0000-000003000000}"/>
    <cellStyle name="Percent 2" xfId="4" xr:uid="{0614D9AB-7C1E-4FD5-8EA7-E8A0943EBF16}"/>
  </cellStyles>
  <dxfs count="0"/>
  <tableStyles count="0" defaultTableStyle="TableStyleMedium9" defaultPivotStyle="PivotStyleLight16"/>
  <colors>
    <mruColors>
      <color rgb="FF669900"/>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Harvest Loss and Drying Energy Costs</a:t>
            </a:r>
            <a:r>
              <a:rPr lang="en-US" baseline="0"/>
              <a:t> </a:t>
            </a:r>
            <a:r>
              <a:rPr lang="en-US" sz="1600" b="0" baseline="0"/>
              <a:t>($1.90 LP and $6.50 corn)</a:t>
            </a:r>
            <a:endParaRPr lang="en-US" sz="1600" b="0"/>
          </a:p>
        </c:rich>
      </c:tx>
      <c:layout>
        <c:manualLayout>
          <c:xMode val="edge"/>
          <c:yMode val="edge"/>
          <c:x val="0.14239903479806962"/>
          <c:y val="2.2813688212927757E-2"/>
        </c:manualLayout>
      </c:layout>
      <c:overlay val="0"/>
    </c:title>
    <c:autoTitleDeleted val="0"/>
    <c:plotArea>
      <c:layout/>
      <c:scatterChart>
        <c:scatterStyle val="lineMarker"/>
        <c:varyColors val="0"/>
        <c:ser>
          <c:idx val="4"/>
          <c:order val="0"/>
          <c:tx>
            <c:strRef>
              <c:f>Main!$M$52</c:f>
              <c:strCache>
                <c:ptCount val="1"/>
                <c:pt idx="0">
                  <c:v>8% HL</c:v>
                </c:pt>
              </c:strCache>
            </c:strRef>
          </c:tx>
          <c:xVal>
            <c:numRef>
              <c:f>Main!$B$22:$B$24</c:f>
              <c:numCache>
                <c:formatCode>General</c:formatCode>
                <c:ptCount val="3"/>
                <c:pt idx="0">
                  <c:v>100</c:v>
                </c:pt>
                <c:pt idx="1">
                  <c:v>200</c:v>
                </c:pt>
                <c:pt idx="2">
                  <c:v>300</c:v>
                </c:pt>
              </c:numCache>
            </c:numRef>
          </c:xVal>
          <c:yVal>
            <c:numRef>
              <c:f>Main!$D$46:$D$48</c:f>
              <c:numCache>
                <c:formatCode>"$"#,##0_);\("$"#,##0\)</c:formatCode>
                <c:ptCount val="3"/>
                <c:pt idx="0">
                  <c:v>52</c:v>
                </c:pt>
                <c:pt idx="1">
                  <c:v>104</c:v>
                </c:pt>
                <c:pt idx="2">
                  <c:v>156</c:v>
                </c:pt>
              </c:numCache>
            </c:numRef>
          </c:yVal>
          <c:smooth val="0"/>
          <c:extLst>
            <c:ext xmlns:c16="http://schemas.microsoft.com/office/drawing/2014/chart" uri="{C3380CC4-5D6E-409C-BE32-E72D297353CC}">
              <c16:uniqueId val="{00000000-0415-4619-8CD4-AD7BFF9014D6}"/>
            </c:ext>
          </c:extLst>
        </c:ser>
        <c:ser>
          <c:idx val="0"/>
          <c:order val="1"/>
          <c:tx>
            <c:strRef>
              <c:f>Main!$N$52</c:f>
              <c:strCache>
                <c:ptCount val="1"/>
                <c:pt idx="0">
                  <c:v>11 pts</c:v>
                </c:pt>
              </c:strCache>
            </c:strRef>
          </c:tx>
          <c:spPr>
            <a:ln>
              <a:solidFill>
                <a:schemeClr val="tx2">
                  <a:lumMod val="60000"/>
                  <a:lumOff val="40000"/>
                </a:schemeClr>
              </a:solidFill>
              <a:prstDash val="dash"/>
            </a:ln>
          </c:spPr>
          <c:marker>
            <c:symbol val="diamond"/>
            <c:size val="7"/>
            <c:spPr>
              <a:noFill/>
              <a:ln>
                <a:solidFill>
                  <a:schemeClr val="tx2">
                    <a:lumMod val="40000"/>
                    <a:lumOff val="60000"/>
                  </a:schemeClr>
                </a:solidFill>
              </a:ln>
            </c:spPr>
          </c:marker>
          <c:xVal>
            <c:numRef>
              <c:f>Main!$B$22:$B$24</c:f>
              <c:numCache>
                <c:formatCode>General</c:formatCode>
                <c:ptCount val="3"/>
                <c:pt idx="0">
                  <c:v>100</c:v>
                </c:pt>
                <c:pt idx="1">
                  <c:v>200</c:v>
                </c:pt>
                <c:pt idx="2">
                  <c:v>300</c:v>
                </c:pt>
              </c:numCache>
            </c:numRef>
          </c:xVal>
          <c:yVal>
            <c:numRef>
              <c:f>Main!$E$22:$E$24</c:f>
              <c:numCache>
                <c:formatCode>"$"#,##0_);\("$"#,##0\)</c:formatCode>
                <c:ptCount val="3"/>
                <c:pt idx="0">
                  <c:v>40.058074421330197</c:v>
                </c:pt>
                <c:pt idx="1">
                  <c:v>80.116148842660394</c:v>
                </c:pt>
                <c:pt idx="2">
                  <c:v>120.1742232639906</c:v>
                </c:pt>
              </c:numCache>
            </c:numRef>
          </c:yVal>
          <c:smooth val="0"/>
          <c:extLst>
            <c:ext xmlns:c16="http://schemas.microsoft.com/office/drawing/2014/chart" uri="{C3380CC4-5D6E-409C-BE32-E72D297353CC}">
              <c16:uniqueId val="{00000008-0415-4619-8CD4-AD7BFF9014D6}"/>
            </c:ext>
          </c:extLst>
        </c:ser>
        <c:ser>
          <c:idx val="1"/>
          <c:order val="2"/>
          <c:tx>
            <c:strRef>
              <c:f>Main!$M$51</c:f>
              <c:strCache>
                <c:ptCount val="1"/>
                <c:pt idx="0">
                  <c:v>5% HL</c:v>
                </c:pt>
              </c:strCache>
            </c:strRef>
          </c:tx>
          <c:spPr>
            <a:ln>
              <a:solidFill>
                <a:srgbClr val="669900"/>
              </a:solidFill>
            </a:ln>
          </c:spPr>
          <c:marker>
            <c:symbol val="plus"/>
            <c:size val="7"/>
            <c:spPr>
              <a:noFill/>
              <a:ln>
                <a:solidFill>
                  <a:srgbClr val="92D050"/>
                </a:solidFill>
              </a:ln>
            </c:spPr>
          </c:marker>
          <c:xVal>
            <c:numRef>
              <c:f>Main!$B$22:$B$24</c:f>
              <c:numCache>
                <c:formatCode>General</c:formatCode>
                <c:ptCount val="3"/>
                <c:pt idx="0">
                  <c:v>100</c:v>
                </c:pt>
                <c:pt idx="1">
                  <c:v>200</c:v>
                </c:pt>
                <c:pt idx="2">
                  <c:v>300</c:v>
                </c:pt>
              </c:numCache>
            </c:numRef>
          </c:xVal>
          <c:yVal>
            <c:numRef>
              <c:f>Main!$D$38:$D$40</c:f>
              <c:numCache>
                <c:formatCode>"$"#,##0_);\("$"#,##0\)</c:formatCode>
                <c:ptCount val="3"/>
                <c:pt idx="0">
                  <c:v>32.5</c:v>
                </c:pt>
                <c:pt idx="1">
                  <c:v>65</c:v>
                </c:pt>
                <c:pt idx="2">
                  <c:v>97.5</c:v>
                </c:pt>
              </c:numCache>
            </c:numRef>
          </c:yVal>
          <c:smooth val="0"/>
          <c:extLst>
            <c:ext xmlns:c16="http://schemas.microsoft.com/office/drawing/2014/chart" uri="{C3380CC4-5D6E-409C-BE32-E72D297353CC}">
              <c16:uniqueId val="{00000009-0415-4619-8CD4-AD7BFF9014D6}"/>
            </c:ext>
          </c:extLst>
        </c:ser>
        <c:ser>
          <c:idx val="2"/>
          <c:order val="3"/>
          <c:tx>
            <c:strRef>
              <c:f>Main!$N$51</c:f>
              <c:strCache>
                <c:ptCount val="1"/>
                <c:pt idx="0">
                  <c:v>7 pts</c:v>
                </c:pt>
              </c:strCache>
            </c:strRef>
          </c:tx>
          <c:spPr>
            <a:ln>
              <a:prstDash val="dash"/>
            </a:ln>
          </c:spPr>
          <c:marker>
            <c:spPr>
              <a:noFill/>
            </c:spPr>
          </c:marker>
          <c:xVal>
            <c:numRef>
              <c:f>Main!$B$22:$B$24</c:f>
              <c:numCache>
                <c:formatCode>General</c:formatCode>
                <c:ptCount val="3"/>
                <c:pt idx="0">
                  <c:v>100</c:v>
                </c:pt>
                <c:pt idx="1">
                  <c:v>200</c:v>
                </c:pt>
                <c:pt idx="2">
                  <c:v>300</c:v>
                </c:pt>
              </c:numCache>
            </c:numRef>
          </c:xVal>
          <c:yVal>
            <c:numRef>
              <c:f>Main!$D$22:$D$24</c:f>
              <c:numCache>
                <c:formatCode>"$"#,##0_);\("$"#,##0\)</c:formatCode>
                <c:ptCount val="3"/>
                <c:pt idx="0">
                  <c:v>26.818077644301198</c:v>
                </c:pt>
                <c:pt idx="1">
                  <c:v>53.636155288602396</c:v>
                </c:pt>
                <c:pt idx="2">
                  <c:v>80.454232932903594</c:v>
                </c:pt>
              </c:numCache>
            </c:numRef>
          </c:yVal>
          <c:smooth val="0"/>
          <c:extLst>
            <c:ext xmlns:c16="http://schemas.microsoft.com/office/drawing/2014/chart" uri="{C3380CC4-5D6E-409C-BE32-E72D297353CC}">
              <c16:uniqueId val="{0000000A-0415-4619-8CD4-AD7BFF9014D6}"/>
            </c:ext>
          </c:extLst>
        </c:ser>
        <c:ser>
          <c:idx val="3"/>
          <c:order val="4"/>
          <c:tx>
            <c:strRef>
              <c:f>Main!$M$50</c:f>
              <c:strCache>
                <c:ptCount val="1"/>
                <c:pt idx="0">
                  <c:v>2% HL</c:v>
                </c:pt>
              </c:strCache>
            </c:strRef>
          </c:tx>
          <c:spPr>
            <a:ln>
              <a:solidFill>
                <a:srgbClr val="FFC000"/>
              </a:solidFill>
            </a:ln>
          </c:spPr>
          <c:xVal>
            <c:numRef>
              <c:f>Main!$B$22:$B$24</c:f>
              <c:numCache>
                <c:formatCode>General</c:formatCode>
                <c:ptCount val="3"/>
                <c:pt idx="0">
                  <c:v>100</c:v>
                </c:pt>
                <c:pt idx="1">
                  <c:v>200</c:v>
                </c:pt>
                <c:pt idx="2">
                  <c:v>300</c:v>
                </c:pt>
              </c:numCache>
            </c:numRef>
          </c:xVal>
          <c:yVal>
            <c:numRef>
              <c:f>Main!$D$30:$D$32</c:f>
              <c:numCache>
                <c:formatCode>"$"#,##0_);\("$"#,##0\)</c:formatCode>
                <c:ptCount val="3"/>
                <c:pt idx="0">
                  <c:v>13</c:v>
                </c:pt>
                <c:pt idx="1">
                  <c:v>26</c:v>
                </c:pt>
                <c:pt idx="2">
                  <c:v>39</c:v>
                </c:pt>
              </c:numCache>
            </c:numRef>
          </c:yVal>
          <c:smooth val="0"/>
          <c:extLst>
            <c:ext xmlns:c16="http://schemas.microsoft.com/office/drawing/2014/chart" uri="{C3380CC4-5D6E-409C-BE32-E72D297353CC}">
              <c16:uniqueId val="{0000000B-0415-4619-8CD4-AD7BFF9014D6}"/>
            </c:ext>
          </c:extLst>
        </c:ser>
        <c:ser>
          <c:idx val="5"/>
          <c:order val="5"/>
          <c:tx>
            <c:strRef>
              <c:f>Main!$N$50</c:f>
              <c:strCache>
                <c:ptCount val="1"/>
                <c:pt idx="0">
                  <c:v>3 pts</c:v>
                </c:pt>
              </c:strCache>
            </c:strRef>
          </c:tx>
          <c:spPr>
            <a:ln>
              <a:prstDash val="lgDash"/>
            </a:ln>
          </c:spPr>
          <c:marker>
            <c:spPr>
              <a:noFill/>
            </c:spPr>
          </c:marker>
          <c:xVal>
            <c:numRef>
              <c:f>Main!$B$22:$B$24</c:f>
              <c:numCache>
                <c:formatCode>General</c:formatCode>
                <c:ptCount val="3"/>
                <c:pt idx="0">
                  <c:v>100</c:v>
                </c:pt>
                <c:pt idx="1">
                  <c:v>200</c:v>
                </c:pt>
                <c:pt idx="2">
                  <c:v>300</c:v>
                </c:pt>
              </c:numCache>
            </c:numRef>
          </c:xVal>
          <c:yVal>
            <c:numRef>
              <c:f>Main!$C$22:$C$24</c:f>
              <c:numCache>
                <c:formatCode>"$"#,##0_);\("$"#,##0\)</c:formatCode>
                <c:ptCount val="3"/>
                <c:pt idx="0">
                  <c:v>13.578080867272194</c:v>
                </c:pt>
                <c:pt idx="1">
                  <c:v>27.156161734544387</c:v>
                </c:pt>
                <c:pt idx="2">
                  <c:v>40.734242601816582</c:v>
                </c:pt>
              </c:numCache>
            </c:numRef>
          </c:yVal>
          <c:smooth val="0"/>
          <c:extLst>
            <c:ext xmlns:c16="http://schemas.microsoft.com/office/drawing/2014/chart" uri="{C3380CC4-5D6E-409C-BE32-E72D297353CC}">
              <c16:uniqueId val="{0000000C-0415-4619-8CD4-AD7BFF9014D6}"/>
            </c:ext>
          </c:extLst>
        </c:ser>
        <c:dLbls>
          <c:showLegendKey val="0"/>
          <c:showVal val="0"/>
          <c:showCatName val="0"/>
          <c:showSerName val="0"/>
          <c:showPercent val="0"/>
          <c:showBubbleSize val="0"/>
        </c:dLbls>
        <c:axId val="376809280"/>
        <c:axId val="1"/>
      </c:scatterChart>
      <c:valAx>
        <c:axId val="376809280"/>
        <c:scaling>
          <c:orientation val="minMax"/>
          <c:min val="50"/>
        </c:scaling>
        <c:delete val="0"/>
        <c:axPos val="b"/>
        <c:title>
          <c:tx>
            <c:rich>
              <a:bodyPr/>
              <a:lstStyle/>
              <a:p>
                <a:pPr>
                  <a:defRPr sz="1800"/>
                </a:pPr>
                <a:r>
                  <a:rPr lang="en-US" sz="1800"/>
                  <a:t>Yield, bu/ac</a:t>
                </a:r>
              </a:p>
            </c:rich>
          </c:tx>
          <c:overlay val="0"/>
        </c:title>
        <c:numFmt formatCode="General" sourceLinked="1"/>
        <c:majorTickMark val="out"/>
        <c:minorTickMark val="out"/>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crossBetween val="midCat"/>
        <c:majorUnit val="50"/>
        <c:minorUnit val="25"/>
      </c:valAx>
      <c:valAx>
        <c:axId val="1"/>
        <c:scaling>
          <c:orientation val="minMax"/>
        </c:scaling>
        <c:delete val="0"/>
        <c:axPos val="l"/>
        <c:majorGridlines>
          <c:spPr>
            <a:ln>
              <a:solidFill>
                <a:schemeClr val="accent1"/>
              </a:solidFill>
            </a:ln>
          </c:spPr>
        </c:majorGridlines>
        <c:title>
          <c:tx>
            <c:rich>
              <a:bodyPr/>
              <a:lstStyle/>
              <a:p>
                <a:pPr>
                  <a:defRPr sz="1800"/>
                </a:pPr>
                <a:r>
                  <a:rPr lang="en-US" sz="1800"/>
                  <a:t>Cost, $/ac</a:t>
                </a:r>
              </a:p>
            </c:rich>
          </c:tx>
          <c:overlay val="0"/>
        </c:title>
        <c:numFmt formatCode="\$#,##0" sourceLinked="0"/>
        <c:majorTickMark val="out"/>
        <c:minorTickMark val="none"/>
        <c:tickLblPos val="nextTo"/>
        <c:txPr>
          <a:bodyPr/>
          <a:lstStyle/>
          <a:p>
            <a:pPr>
              <a:defRPr sz="1200" b="1"/>
            </a:pPr>
            <a:endParaRPr lang="en-US"/>
          </a:p>
        </c:txPr>
        <c:crossAx val="376809280"/>
        <c:crosses val="autoZero"/>
        <c:crossBetween val="midCat"/>
      </c:valAx>
      <c:spPr>
        <a:ln>
          <a:solidFill>
            <a:schemeClr val="accent1"/>
          </a:solidFill>
        </a:ln>
      </c:spPr>
    </c:plotArea>
    <c:legend>
      <c:legendPos val="r"/>
      <c:layout>
        <c:manualLayout>
          <c:xMode val="edge"/>
          <c:yMode val="edge"/>
          <c:x val="0.78261811023622052"/>
          <c:y val="0.27057852143482064"/>
          <c:w val="0.18116967233934467"/>
          <c:h val="0.46776144426813571"/>
        </c:manualLayout>
      </c:layout>
      <c:overlay val="0"/>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wmf"/></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61</xdr:row>
      <xdr:rowOff>19050</xdr:rowOff>
    </xdr:from>
    <xdr:to>
      <xdr:col>10</xdr:col>
      <xdr:colOff>561975</xdr:colOff>
      <xdr:row>62</xdr:row>
      <xdr:rowOff>142875</xdr:rowOff>
    </xdr:to>
    <xdr:pic>
      <xdr:nvPicPr>
        <xdr:cNvPr id="1100" name="Picture 2" descr="CESfooter">
          <a:extLst>
            <a:ext uri="{FF2B5EF4-FFF2-40B4-BE49-F238E27FC236}">
              <a16:creationId xmlns:a16="http://schemas.microsoft.com/office/drawing/2014/main" id="{00000000-0008-0000-0000-00004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0553700"/>
          <a:ext cx="6553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28576</xdr:colOff>
      <xdr:row>0</xdr:row>
      <xdr:rowOff>47625</xdr:rowOff>
    </xdr:from>
    <xdr:to>
      <xdr:col>8</xdr:col>
      <xdr:colOff>628650</xdr:colOff>
      <xdr:row>7</xdr:row>
      <xdr:rowOff>7061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19076" y="47625"/>
          <a:ext cx="5124449" cy="1092911"/>
        </a:xfrm>
        <a:prstGeom prst="rect">
          <a:avLst/>
        </a:prstGeom>
      </xdr:spPr>
    </xdr:pic>
    <xdr:clientData/>
  </xdr:twoCellAnchor>
  <xdr:twoCellAnchor>
    <xdr:from>
      <xdr:col>11</xdr:col>
      <xdr:colOff>0</xdr:colOff>
      <xdr:row>25</xdr:row>
      <xdr:rowOff>0</xdr:rowOff>
    </xdr:from>
    <xdr:to>
      <xdr:col>18</xdr:col>
      <xdr:colOff>336550</xdr:colOff>
      <xdr:row>47</xdr:row>
      <xdr:rowOff>139700</xdr:rowOff>
    </xdr:to>
    <xdr:graphicFrame macro="">
      <xdr:nvGraphicFramePr>
        <xdr:cNvPr id="4" name="Chart 2">
          <a:extLst>
            <a:ext uri="{FF2B5EF4-FFF2-40B4-BE49-F238E27FC236}">
              <a16:creationId xmlns:a16="http://schemas.microsoft.com/office/drawing/2014/main" id="{2EB8AE17-4B60-4674-B5D5-7456BC764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9</xdr:col>
      <xdr:colOff>358140</xdr:colOff>
      <xdr:row>1</xdr:row>
      <xdr:rowOff>106680</xdr:rowOff>
    </xdr:from>
    <xdr:ext cx="1350010" cy="698500"/>
    <xdr:pic>
      <xdr:nvPicPr>
        <xdr:cNvPr id="2" name="Picture 5" descr="bl00369_">
          <a:extLst>
            <a:ext uri="{FF2B5EF4-FFF2-40B4-BE49-F238E27FC236}">
              <a16:creationId xmlns:a16="http://schemas.microsoft.com/office/drawing/2014/main" id="{56368957-DEF8-4B38-9767-BFCA66143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4540" y="265430"/>
          <a:ext cx="135001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144780</xdr:colOff>
      <xdr:row>32</xdr:row>
      <xdr:rowOff>7620</xdr:rowOff>
    </xdr:from>
    <xdr:ext cx="3242310" cy="566420"/>
    <xdr:pic>
      <xdr:nvPicPr>
        <xdr:cNvPr id="3" name="Picture 3">
          <a:extLst>
            <a:ext uri="{FF2B5EF4-FFF2-40B4-BE49-F238E27FC236}">
              <a16:creationId xmlns:a16="http://schemas.microsoft.com/office/drawing/2014/main" id="{EB258B49-CF3D-4ACF-9132-E3BFC4ABE0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2380" y="5087620"/>
          <a:ext cx="3242310" cy="566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152401</xdr:rowOff>
    </xdr:from>
    <xdr:to>
      <xdr:col>8</xdr:col>
      <xdr:colOff>6506</xdr:colOff>
      <xdr:row>23</xdr:row>
      <xdr:rowOff>122578</xdr:rowOff>
    </xdr:to>
    <xdr:pic>
      <xdr:nvPicPr>
        <xdr:cNvPr id="2" name="Picture 1">
          <a:extLst>
            <a:ext uri="{FF2B5EF4-FFF2-40B4-BE49-F238E27FC236}">
              <a16:creationId xmlns:a16="http://schemas.microsoft.com/office/drawing/2014/main" id="{C7FFB63E-E759-4E37-BD37-B2D5022109BA}"/>
            </a:ext>
          </a:extLst>
        </xdr:cNvPr>
        <xdr:cNvPicPr>
          <a:picLocks noChangeAspect="1"/>
        </xdr:cNvPicPr>
      </xdr:nvPicPr>
      <xdr:blipFill>
        <a:blip xmlns:r="http://schemas.openxmlformats.org/officeDocument/2006/relationships" r:embed="rId1"/>
        <a:stretch>
          <a:fillRect/>
        </a:stretch>
      </xdr:blipFill>
      <xdr:spPr>
        <a:xfrm>
          <a:off x="152400" y="4013201"/>
          <a:ext cx="4730906" cy="3670110"/>
        </a:xfrm>
        <a:prstGeom prst="rect">
          <a:avLst/>
        </a:prstGeom>
      </xdr:spPr>
    </xdr:pic>
    <xdr:clientData/>
  </xdr:twoCellAnchor>
  <xdr:twoCellAnchor editAs="oneCell">
    <xdr:from>
      <xdr:col>8</xdr:col>
      <xdr:colOff>84670</xdr:colOff>
      <xdr:row>1</xdr:row>
      <xdr:rowOff>0</xdr:rowOff>
    </xdr:from>
    <xdr:to>
      <xdr:col>15</xdr:col>
      <xdr:colOff>548376</xdr:colOff>
      <xdr:row>23</xdr:row>
      <xdr:rowOff>131044</xdr:rowOff>
    </xdr:to>
    <xdr:pic>
      <xdr:nvPicPr>
        <xdr:cNvPr id="9" name="Picture 8">
          <a:extLst>
            <a:ext uri="{FF2B5EF4-FFF2-40B4-BE49-F238E27FC236}">
              <a16:creationId xmlns:a16="http://schemas.microsoft.com/office/drawing/2014/main" id="{8AC18CFD-5A58-41D2-86BD-9D9D6E260F6F}"/>
            </a:ext>
          </a:extLst>
        </xdr:cNvPr>
        <xdr:cNvPicPr>
          <a:picLocks noChangeAspect="1"/>
        </xdr:cNvPicPr>
      </xdr:nvPicPr>
      <xdr:blipFill>
        <a:blip xmlns:r="http://schemas.openxmlformats.org/officeDocument/2006/relationships" r:embed="rId2"/>
        <a:stretch>
          <a:fillRect/>
        </a:stretch>
      </xdr:blipFill>
      <xdr:spPr>
        <a:xfrm>
          <a:off x="4961470" y="4021667"/>
          <a:ext cx="4730906" cy="3670110"/>
        </a:xfrm>
        <a:prstGeom prst="rect">
          <a:avLst/>
        </a:prstGeom>
      </xdr:spPr>
    </xdr:pic>
    <xdr:clientData/>
  </xdr:twoCellAnchor>
  <xdr:twoCellAnchor editAs="oneCell">
    <xdr:from>
      <xdr:col>16</xdr:col>
      <xdr:colOff>0</xdr:colOff>
      <xdr:row>1</xdr:row>
      <xdr:rowOff>0</xdr:rowOff>
    </xdr:from>
    <xdr:to>
      <xdr:col>23</xdr:col>
      <xdr:colOff>463706</xdr:colOff>
      <xdr:row>23</xdr:row>
      <xdr:rowOff>131044</xdr:rowOff>
    </xdr:to>
    <xdr:pic>
      <xdr:nvPicPr>
        <xdr:cNvPr id="10" name="Picture 9">
          <a:extLst>
            <a:ext uri="{FF2B5EF4-FFF2-40B4-BE49-F238E27FC236}">
              <a16:creationId xmlns:a16="http://schemas.microsoft.com/office/drawing/2014/main" id="{A9321431-27FB-4418-97D2-A8D505CE5CEB}"/>
            </a:ext>
          </a:extLst>
        </xdr:cNvPr>
        <xdr:cNvPicPr>
          <a:picLocks noChangeAspect="1"/>
        </xdr:cNvPicPr>
      </xdr:nvPicPr>
      <xdr:blipFill>
        <a:blip xmlns:r="http://schemas.openxmlformats.org/officeDocument/2006/relationships" r:embed="rId3"/>
        <a:stretch>
          <a:fillRect/>
        </a:stretch>
      </xdr:blipFill>
      <xdr:spPr>
        <a:xfrm>
          <a:off x="9753600" y="4021667"/>
          <a:ext cx="4730906" cy="36701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extension.iastate.edu/agdm/crops/pdf/a1-20.pdf" TargetMode="External"/><Relationship Id="rId7" Type="http://schemas.openxmlformats.org/officeDocument/2006/relationships/vmlDrawing" Target="../drawings/vmlDrawing2.vml"/><Relationship Id="rId2" Type="http://schemas.openxmlformats.org/officeDocument/2006/relationships/hyperlink" Target="http://www.extension.iastate.edu/agdm/crops/pdf/a3-24.pdf" TargetMode="External"/><Relationship Id="rId1" Type="http://schemas.openxmlformats.org/officeDocument/2006/relationships/hyperlink" Target="mailto:wedwards@iastate.edu?subject=AgDM%20Spreadsheet%20Grain%20Dryin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extension.iastate.edu/agdm/crops/html/a2-31.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62"/>
  <sheetViews>
    <sheetView tabSelected="1" topLeftCell="A9" workbookViewId="0">
      <selection activeCell="D15" sqref="D15"/>
    </sheetView>
  </sheetViews>
  <sheetFormatPr defaultRowHeight="12.5" x14ac:dyDescent="0.25"/>
  <cols>
    <col min="1" max="1" width="2.26953125" style="47" customWidth="1"/>
    <col min="2" max="3" width="8.7265625" style="47"/>
    <col min="4" max="6" width="9.81640625" style="47" customWidth="1"/>
    <col min="7" max="10" width="10" style="47" customWidth="1"/>
    <col min="11" max="11" width="10.08984375" style="47" customWidth="1"/>
    <col min="12" max="12" width="10" style="47" customWidth="1"/>
    <col min="13" max="13" width="9.1796875" style="47" customWidth="1"/>
    <col min="14" max="21" width="8.7265625" style="47"/>
    <col min="22" max="24" width="8.7265625" style="47" customWidth="1"/>
    <col min="25" max="16384" width="8.7265625" style="47"/>
  </cols>
  <sheetData>
    <row r="1" spans="2:15" x14ac:dyDescent="0.25">
      <c r="L1" s="48" t="s">
        <v>27</v>
      </c>
    </row>
    <row r="2" spans="2:15" x14ac:dyDescent="0.25">
      <c r="M2" s="49" t="s">
        <v>21</v>
      </c>
      <c r="N2" s="50" t="s">
        <v>22</v>
      </c>
      <c r="O2" s="50" t="s">
        <v>23</v>
      </c>
    </row>
    <row r="3" spans="2:15" x14ac:dyDescent="0.25">
      <c r="L3" s="51" t="s">
        <v>19</v>
      </c>
      <c r="M3" s="126" t="s">
        <v>20</v>
      </c>
      <c r="N3" s="127"/>
      <c r="O3" s="127"/>
    </row>
    <row r="4" spans="2:15" x14ac:dyDescent="0.25">
      <c r="L4" s="52">
        <v>1</v>
      </c>
      <c r="M4" s="53">
        <v>6.94</v>
      </c>
      <c r="N4" s="53">
        <v>6.57</v>
      </c>
      <c r="O4" s="53">
        <v>6.62</v>
      </c>
    </row>
    <row r="5" spans="2:15" x14ac:dyDescent="0.25">
      <c r="L5" s="52">
        <f>L4+1</f>
        <v>2</v>
      </c>
      <c r="M5" s="53">
        <v>6.74</v>
      </c>
      <c r="N5" s="53">
        <v>6.37</v>
      </c>
      <c r="O5" s="53">
        <v>6.42</v>
      </c>
    </row>
    <row r="6" spans="2:15" x14ac:dyDescent="0.25">
      <c r="L6" s="52">
        <f t="shared" ref="L6:L17" si="0">L5+1</f>
        <v>3</v>
      </c>
      <c r="M6" s="53">
        <v>6.91</v>
      </c>
      <c r="N6" s="53">
        <v>6.53</v>
      </c>
      <c r="O6" s="53">
        <v>6.76</v>
      </c>
    </row>
    <row r="7" spans="2:15" x14ac:dyDescent="0.25">
      <c r="L7" s="52">
        <f t="shared" si="0"/>
        <v>4</v>
      </c>
      <c r="M7" s="53"/>
      <c r="N7" s="53">
        <v>6.57</v>
      </c>
      <c r="O7" s="53">
        <v>6.65</v>
      </c>
    </row>
    <row r="8" spans="2:15" x14ac:dyDescent="0.25">
      <c r="L8" s="52">
        <f t="shared" si="0"/>
        <v>5</v>
      </c>
      <c r="M8" s="53"/>
      <c r="N8" s="53">
        <v>6.81</v>
      </c>
      <c r="O8" s="53">
        <v>6.93</v>
      </c>
    </row>
    <row r="9" spans="2:15" x14ac:dyDescent="0.25">
      <c r="B9" s="54"/>
      <c r="C9" s="54"/>
      <c r="D9" s="54"/>
      <c r="E9" s="54"/>
      <c r="F9" s="54"/>
      <c r="G9" s="54"/>
      <c r="H9" s="54"/>
      <c r="I9" s="54"/>
      <c r="J9" s="54"/>
      <c r="L9" s="52">
        <f t="shared" si="0"/>
        <v>6</v>
      </c>
      <c r="M9" s="53">
        <v>7.21</v>
      </c>
      <c r="N9" s="53">
        <v>6.52</v>
      </c>
      <c r="O9" s="53">
        <v>6.81</v>
      </c>
    </row>
    <row r="10" spans="2:15" x14ac:dyDescent="0.25">
      <c r="B10" s="55" t="s">
        <v>17</v>
      </c>
      <c r="C10" s="56"/>
      <c r="D10" s="56"/>
      <c r="E10" s="56"/>
      <c r="F10" s="56"/>
      <c r="G10" s="56"/>
      <c r="H10" s="56"/>
      <c r="J10" s="54"/>
      <c r="L10" s="52">
        <f t="shared" si="0"/>
        <v>7</v>
      </c>
      <c r="M10" s="53"/>
      <c r="N10" s="53">
        <v>6.54</v>
      </c>
      <c r="O10" s="53">
        <v>6.76</v>
      </c>
    </row>
    <row r="11" spans="2:15" x14ac:dyDescent="0.25">
      <c r="B11" s="55" t="s">
        <v>18</v>
      </c>
      <c r="C11" s="56"/>
      <c r="L11" s="52">
        <f t="shared" si="0"/>
        <v>8</v>
      </c>
      <c r="M11" s="53">
        <v>7.06</v>
      </c>
      <c r="N11" s="53">
        <v>6.67</v>
      </c>
      <c r="O11" s="53">
        <v>6.93</v>
      </c>
    </row>
    <row r="12" spans="2:15" ht="13" thickBot="1" x14ac:dyDescent="0.3">
      <c r="B12" s="56"/>
      <c r="C12" s="56"/>
      <c r="L12" s="52">
        <f t="shared" si="0"/>
        <v>9</v>
      </c>
      <c r="M12" s="53">
        <v>7.32</v>
      </c>
      <c r="N12" s="53">
        <v>6.6</v>
      </c>
      <c r="O12" s="53">
        <v>6.82</v>
      </c>
    </row>
    <row r="13" spans="2:15" ht="13" x14ac:dyDescent="0.3">
      <c r="B13" s="57"/>
      <c r="C13" s="58" t="s">
        <v>15</v>
      </c>
      <c r="D13" s="45">
        <v>6.5</v>
      </c>
      <c r="F13" s="59"/>
      <c r="G13" s="60"/>
      <c r="H13" s="143" t="s">
        <v>76</v>
      </c>
      <c r="I13" s="144"/>
      <c r="J13" s="145"/>
      <c r="K13" s="54"/>
      <c r="L13" s="52">
        <f t="shared" si="0"/>
        <v>10</v>
      </c>
      <c r="M13" s="53">
        <v>7.32</v>
      </c>
      <c r="N13" s="53">
        <v>6.6</v>
      </c>
      <c r="O13" s="53">
        <v>6.82</v>
      </c>
    </row>
    <row r="14" spans="2:15" ht="13.5" thickBot="1" x14ac:dyDescent="0.35">
      <c r="B14" s="61"/>
      <c r="C14" s="62" t="s">
        <v>16</v>
      </c>
      <c r="D14" s="46">
        <v>2</v>
      </c>
      <c r="F14" s="63"/>
      <c r="G14" s="64" t="s">
        <v>78</v>
      </c>
      <c r="H14" s="65">
        <v>3</v>
      </c>
      <c r="I14" s="65">
        <v>7</v>
      </c>
      <c r="J14" s="66">
        <v>11</v>
      </c>
      <c r="K14" s="54"/>
      <c r="L14" s="52">
        <f t="shared" si="0"/>
        <v>11</v>
      </c>
      <c r="M14" s="53">
        <v>6.85</v>
      </c>
      <c r="N14" s="53">
        <v>6.42</v>
      </c>
      <c r="O14" s="53">
        <v>6.52</v>
      </c>
    </row>
    <row r="15" spans="2:15" ht="13" x14ac:dyDescent="0.3">
      <c r="B15" s="54"/>
      <c r="C15" s="67"/>
      <c r="D15" s="68"/>
      <c r="F15" s="59"/>
      <c r="G15" s="69" t="s">
        <v>10</v>
      </c>
      <c r="H15" s="70">
        <f>H$14*('ISU Drying$'!I25+'ISU Drying$'!I26)</f>
        <v>0.13578080867272194</v>
      </c>
      <c r="I15" s="70">
        <f>AVERAGE(H15,J15)</f>
        <v>0.26818077644301197</v>
      </c>
      <c r="J15" s="71">
        <f>J14*('ISU Drying$'!M25+'ISU Drying$'!M26)</f>
        <v>0.40058074421330198</v>
      </c>
      <c r="K15" s="72"/>
      <c r="L15" s="52">
        <f t="shared" si="0"/>
        <v>12</v>
      </c>
      <c r="M15" s="53">
        <v>6.74</v>
      </c>
      <c r="N15" s="53">
        <v>6.37</v>
      </c>
      <c r="O15" s="53">
        <v>6.42</v>
      </c>
    </row>
    <row r="16" spans="2:15" ht="13" x14ac:dyDescent="0.3">
      <c r="B16" s="73"/>
      <c r="C16" s="74"/>
      <c r="D16" s="75"/>
      <c r="F16" s="63"/>
      <c r="G16" s="76" t="s">
        <v>9</v>
      </c>
      <c r="H16" s="77">
        <f>H$14*'ISU Drying$'!I30</f>
        <v>0.25550752688499589</v>
      </c>
      <c r="I16" s="77">
        <f>AVERAGE(H16,J16)</f>
        <v>0.3879074946552859</v>
      </c>
      <c r="J16" s="78">
        <f>J$14*'ISU Drying$'!M30</f>
        <v>0.52030746242557591</v>
      </c>
      <c r="K16" s="79"/>
      <c r="L16" s="52">
        <f t="shared" si="0"/>
        <v>13</v>
      </c>
      <c r="M16" s="53">
        <v>7.4</v>
      </c>
      <c r="N16" s="53">
        <v>6.67</v>
      </c>
      <c r="O16" s="53">
        <v>6.82</v>
      </c>
    </row>
    <row r="17" spans="2:18" x14ac:dyDescent="0.25">
      <c r="B17" s="74"/>
      <c r="C17" s="74"/>
      <c r="D17" s="80"/>
      <c r="F17" s="54"/>
      <c r="G17" s="81"/>
      <c r="H17" s="82"/>
      <c r="I17" s="82"/>
      <c r="J17" s="82"/>
      <c r="K17" s="67"/>
      <c r="L17" s="52">
        <f t="shared" si="0"/>
        <v>14</v>
      </c>
      <c r="M17" s="53">
        <v>7.11</v>
      </c>
      <c r="N17" s="53">
        <v>6.55</v>
      </c>
      <c r="O17" s="53">
        <v>6.79</v>
      </c>
    </row>
    <row r="18" spans="2:18" ht="12.75" customHeight="1" x14ac:dyDescent="0.25">
      <c r="C18" s="146" t="s">
        <v>8</v>
      </c>
      <c r="D18" s="144"/>
      <c r="E18" s="145"/>
      <c r="F18" s="147" t="s">
        <v>7</v>
      </c>
      <c r="G18" s="148"/>
      <c r="H18" s="149"/>
      <c r="I18" s="83"/>
      <c r="L18" s="52">
        <f>L17+1</f>
        <v>15</v>
      </c>
      <c r="M18" s="53">
        <v>7.24</v>
      </c>
      <c r="N18" s="53">
        <v>6.48</v>
      </c>
      <c r="O18" s="53">
        <v>6.76</v>
      </c>
    </row>
    <row r="19" spans="2:18" ht="12.75" customHeight="1" x14ac:dyDescent="0.25">
      <c r="B19" s="154" t="s">
        <v>1</v>
      </c>
      <c r="C19" s="129" t="s">
        <v>30</v>
      </c>
      <c r="D19" s="150"/>
      <c r="E19" s="151"/>
      <c r="F19" s="137" t="s">
        <v>31</v>
      </c>
      <c r="G19" s="138"/>
      <c r="H19" s="139"/>
      <c r="I19" s="83"/>
      <c r="L19" s="52">
        <f>L18+1</f>
        <v>16</v>
      </c>
      <c r="M19" s="53">
        <v>7.21</v>
      </c>
      <c r="N19" s="53">
        <v>6.54</v>
      </c>
      <c r="O19" s="53">
        <v>6.82</v>
      </c>
    </row>
    <row r="20" spans="2:18" x14ac:dyDescent="0.25">
      <c r="B20" s="155"/>
      <c r="C20" s="131"/>
      <c r="D20" s="152"/>
      <c r="E20" s="153"/>
      <c r="F20" s="140"/>
      <c r="G20" s="141"/>
      <c r="H20" s="142"/>
      <c r="I20" s="83"/>
      <c r="J20" s="83"/>
      <c r="K20" s="83"/>
      <c r="L20" s="52">
        <f>L19+1</f>
        <v>17</v>
      </c>
      <c r="M20" s="53">
        <v>7.06</v>
      </c>
      <c r="N20" s="53">
        <v>6.43</v>
      </c>
      <c r="O20" s="53">
        <v>6.7</v>
      </c>
    </row>
    <row r="21" spans="2:18" x14ac:dyDescent="0.25">
      <c r="B21" s="156"/>
      <c r="C21" s="84">
        <f>$H$14</f>
        <v>3</v>
      </c>
      <c r="D21" s="84">
        <f>$I$14</f>
        <v>7</v>
      </c>
      <c r="E21" s="84">
        <f>$J$14</f>
        <v>11</v>
      </c>
      <c r="F21" s="84">
        <f>$H$14</f>
        <v>3</v>
      </c>
      <c r="G21" s="84">
        <f>$I$14</f>
        <v>7</v>
      </c>
      <c r="H21" s="84">
        <f>$J$14</f>
        <v>11</v>
      </c>
      <c r="I21" s="83"/>
      <c r="J21" s="83"/>
      <c r="K21" s="83"/>
      <c r="L21" s="52">
        <f>L20+1</f>
        <v>18</v>
      </c>
      <c r="M21" s="53">
        <v>7.15</v>
      </c>
      <c r="N21" s="53">
        <v>6.35</v>
      </c>
      <c r="O21" s="53">
        <v>6.66</v>
      </c>
    </row>
    <row r="22" spans="2:18" ht="13" x14ac:dyDescent="0.3">
      <c r="B22" s="85">
        <v>100</v>
      </c>
      <c r="C22" s="86">
        <f t="shared" ref="C22:E24" si="1">$B22*H$15</f>
        <v>13.578080867272194</v>
      </c>
      <c r="D22" s="86">
        <f t="shared" si="1"/>
        <v>26.818077644301198</v>
      </c>
      <c r="E22" s="86">
        <f t="shared" si="1"/>
        <v>40.058074421330197</v>
      </c>
      <c r="F22" s="86">
        <f t="shared" ref="F22:H24" si="2">$B22*H$16</f>
        <v>25.550752688499589</v>
      </c>
      <c r="G22" s="86">
        <f t="shared" si="2"/>
        <v>38.790749465528592</v>
      </c>
      <c r="H22" s="86">
        <f t="shared" si="2"/>
        <v>52.030746242557591</v>
      </c>
      <c r="I22" s="83"/>
      <c r="J22" s="83"/>
      <c r="K22" s="83"/>
      <c r="L22" s="51">
        <f>L21+1</f>
        <v>19</v>
      </c>
      <c r="M22" s="87">
        <v>6.96</v>
      </c>
      <c r="N22" s="87">
        <v>6.52</v>
      </c>
      <c r="O22" s="87">
        <v>6.63</v>
      </c>
    </row>
    <row r="23" spans="2:18" ht="13" x14ac:dyDescent="0.3">
      <c r="B23" s="88">
        <v>200</v>
      </c>
      <c r="C23" s="89">
        <f t="shared" si="1"/>
        <v>27.156161734544387</v>
      </c>
      <c r="D23" s="89">
        <f t="shared" si="1"/>
        <v>53.636155288602396</v>
      </c>
      <c r="E23" s="89">
        <f t="shared" si="1"/>
        <v>80.116148842660394</v>
      </c>
      <c r="F23" s="89">
        <f t="shared" si="2"/>
        <v>51.101505376999178</v>
      </c>
      <c r="G23" s="89">
        <f t="shared" si="2"/>
        <v>77.581498931057183</v>
      </c>
      <c r="H23" s="89">
        <f t="shared" si="2"/>
        <v>104.06149248511518</v>
      </c>
      <c r="I23" s="83"/>
      <c r="J23" s="83"/>
      <c r="K23" s="83"/>
      <c r="L23" s="90" t="s">
        <v>24</v>
      </c>
      <c r="M23" s="91">
        <f>AVERAGE(M4:M22)</f>
        <v>7.0762499999999999</v>
      </c>
      <c r="N23" s="92">
        <f>AVERAGE(N4:N22)</f>
        <v>6.5321052631578951</v>
      </c>
      <c r="O23" s="91">
        <f>AVERAGE(O4:O22)</f>
        <v>6.7178947368421049</v>
      </c>
    </row>
    <row r="24" spans="2:18" ht="13" x14ac:dyDescent="0.3">
      <c r="B24" s="85">
        <v>300</v>
      </c>
      <c r="C24" s="86">
        <f t="shared" si="1"/>
        <v>40.734242601816582</v>
      </c>
      <c r="D24" s="86">
        <f t="shared" si="1"/>
        <v>80.454232932903594</v>
      </c>
      <c r="E24" s="86">
        <f t="shared" si="1"/>
        <v>120.1742232639906</v>
      </c>
      <c r="F24" s="86">
        <f t="shared" si="2"/>
        <v>76.652258065498771</v>
      </c>
      <c r="G24" s="86">
        <f t="shared" si="2"/>
        <v>116.37224839658577</v>
      </c>
      <c r="H24" s="86">
        <f t="shared" si="2"/>
        <v>156.09223872767276</v>
      </c>
      <c r="I24" s="83"/>
      <c r="J24" s="83"/>
      <c r="K24" s="83"/>
    </row>
    <row r="25" spans="2:18" ht="13" x14ac:dyDescent="0.3">
      <c r="G25" s="93"/>
      <c r="H25" s="93"/>
      <c r="I25" s="83"/>
      <c r="J25" s="83"/>
      <c r="K25" s="83"/>
    </row>
    <row r="26" spans="2:18" ht="13" x14ac:dyDescent="0.3">
      <c r="B26" s="94"/>
      <c r="C26" s="95"/>
      <c r="D26" s="96" t="s">
        <v>12</v>
      </c>
      <c r="E26" s="97">
        <v>0.02</v>
      </c>
      <c r="F26" s="98"/>
      <c r="G26" s="99"/>
      <c r="H26" s="95"/>
      <c r="I26" s="95"/>
      <c r="J26" s="99"/>
      <c r="K26" s="100"/>
      <c r="L26" s="101"/>
    </row>
    <row r="27" spans="2:18" ht="12.75" customHeight="1" x14ac:dyDescent="0.25">
      <c r="B27" s="128" t="s">
        <v>1</v>
      </c>
      <c r="C27" s="128" t="s">
        <v>2</v>
      </c>
      <c r="D27" s="129" t="s">
        <v>11</v>
      </c>
      <c r="E27" s="129" t="s">
        <v>28</v>
      </c>
      <c r="F27" s="132"/>
      <c r="G27" s="133"/>
      <c r="H27" s="137" t="s">
        <v>29</v>
      </c>
      <c r="I27" s="138"/>
      <c r="J27" s="139"/>
      <c r="K27" s="102"/>
    </row>
    <row r="28" spans="2:18" ht="12.5" customHeight="1" x14ac:dyDescent="0.25">
      <c r="B28" s="128"/>
      <c r="C28" s="128"/>
      <c r="D28" s="130"/>
      <c r="E28" s="134"/>
      <c r="F28" s="135"/>
      <c r="G28" s="136"/>
      <c r="H28" s="140"/>
      <c r="I28" s="141"/>
      <c r="J28" s="142"/>
      <c r="K28" s="103"/>
      <c r="L28" s="81"/>
      <c r="M28" s="104"/>
      <c r="N28" s="104"/>
      <c r="O28" s="104"/>
      <c r="P28" s="104"/>
      <c r="Q28" s="104"/>
      <c r="R28" s="104"/>
    </row>
    <row r="29" spans="2:18" x14ac:dyDescent="0.25">
      <c r="B29" s="128"/>
      <c r="C29" s="128"/>
      <c r="D29" s="131"/>
      <c r="E29" s="84">
        <f>$H$14</f>
        <v>3</v>
      </c>
      <c r="F29" s="84">
        <f>$I$14</f>
        <v>7</v>
      </c>
      <c r="G29" s="84">
        <f>$J$14</f>
        <v>11</v>
      </c>
      <c r="H29" s="84">
        <f>$H$14</f>
        <v>3</v>
      </c>
      <c r="I29" s="84">
        <f>$I$14</f>
        <v>7</v>
      </c>
      <c r="J29" s="84">
        <f>$J$14</f>
        <v>11</v>
      </c>
      <c r="K29" s="105"/>
      <c r="L29" s="67"/>
      <c r="M29" s="106"/>
      <c r="N29" s="67"/>
      <c r="O29" s="106"/>
      <c r="P29" s="67"/>
      <c r="Q29" s="106"/>
      <c r="R29" s="81"/>
    </row>
    <row r="30" spans="2:18" x14ac:dyDescent="0.25">
      <c r="B30" s="107">
        <f>B22</f>
        <v>100</v>
      </c>
      <c r="C30" s="108">
        <f>B30*E$26</f>
        <v>2</v>
      </c>
      <c r="D30" s="109">
        <f>C30*D$13</f>
        <v>13</v>
      </c>
      <c r="E30" s="86">
        <f t="shared" ref="E30:J32" si="3">$D30-C22</f>
        <v>-0.57808086727219354</v>
      </c>
      <c r="F30" s="86">
        <f t="shared" si="3"/>
        <v>-13.818077644301198</v>
      </c>
      <c r="G30" s="86">
        <f t="shared" si="3"/>
        <v>-27.058074421330197</v>
      </c>
      <c r="H30" s="86">
        <f t="shared" si="3"/>
        <v>-12.550752688499589</v>
      </c>
      <c r="I30" s="86">
        <f t="shared" si="3"/>
        <v>-25.790749465528592</v>
      </c>
      <c r="J30" s="86">
        <f t="shared" si="3"/>
        <v>-39.030746242557591</v>
      </c>
      <c r="K30" s="110"/>
      <c r="L30" s="54"/>
      <c r="M30" s="111"/>
      <c r="N30" s="111"/>
      <c r="O30" s="112"/>
      <c r="P30" s="112"/>
      <c r="Q30" s="112"/>
      <c r="R30" s="112"/>
    </row>
    <row r="31" spans="2:18" x14ac:dyDescent="0.25">
      <c r="B31" s="113">
        <f>B23</f>
        <v>200</v>
      </c>
      <c r="C31" s="114">
        <f>B31*E$26</f>
        <v>4</v>
      </c>
      <c r="D31" s="115">
        <f>C31*D$13</f>
        <v>26</v>
      </c>
      <c r="E31" s="89">
        <f t="shared" si="3"/>
        <v>-1.1561617345443871</v>
      </c>
      <c r="F31" s="89">
        <f t="shared" si="3"/>
        <v>-27.636155288602396</v>
      </c>
      <c r="G31" s="89">
        <f t="shared" si="3"/>
        <v>-54.116148842660394</v>
      </c>
      <c r="H31" s="89">
        <f t="shared" si="3"/>
        <v>-25.101505376999178</v>
      </c>
      <c r="I31" s="89">
        <f t="shared" si="3"/>
        <v>-51.581498931057183</v>
      </c>
      <c r="J31" s="89">
        <f t="shared" si="3"/>
        <v>-78.061492485115181</v>
      </c>
      <c r="K31" s="110"/>
      <c r="L31" s="54"/>
      <c r="M31" s="111"/>
      <c r="N31" s="111"/>
      <c r="O31" s="112"/>
      <c r="P31" s="112"/>
      <c r="Q31" s="112"/>
      <c r="R31" s="112"/>
    </row>
    <row r="32" spans="2:18" x14ac:dyDescent="0.25">
      <c r="B32" s="107">
        <f>B24</f>
        <v>300</v>
      </c>
      <c r="C32" s="108">
        <f>B32*E$26</f>
        <v>6</v>
      </c>
      <c r="D32" s="109">
        <f>C32*D$13</f>
        <v>39</v>
      </c>
      <c r="E32" s="86">
        <f t="shared" si="3"/>
        <v>-1.7342426018165824</v>
      </c>
      <c r="F32" s="86">
        <f t="shared" si="3"/>
        <v>-41.454232932903594</v>
      </c>
      <c r="G32" s="86">
        <f t="shared" si="3"/>
        <v>-81.174223263990598</v>
      </c>
      <c r="H32" s="86">
        <f t="shared" si="3"/>
        <v>-37.652258065498771</v>
      </c>
      <c r="I32" s="86">
        <f t="shared" si="3"/>
        <v>-77.372248396585775</v>
      </c>
      <c r="J32" s="86">
        <f t="shared" si="3"/>
        <v>-117.09223872767276</v>
      </c>
      <c r="K32" s="110"/>
      <c r="L32" s="54"/>
      <c r="M32" s="111"/>
      <c r="N32" s="111"/>
      <c r="O32" s="112"/>
      <c r="P32" s="112"/>
      <c r="Q32" s="112"/>
      <c r="R32" s="112"/>
    </row>
    <row r="33" spans="2:11" x14ac:dyDescent="0.25">
      <c r="B33" s="95"/>
      <c r="C33" s="95"/>
      <c r="D33" s="116"/>
      <c r="E33" s="116"/>
      <c r="F33" s="116"/>
      <c r="G33" s="116"/>
      <c r="H33" s="116"/>
      <c r="I33" s="116"/>
      <c r="J33" s="116"/>
      <c r="K33" s="54"/>
    </row>
    <row r="34" spans="2:11" ht="13" x14ac:dyDescent="0.3">
      <c r="B34" s="94"/>
      <c r="C34" s="104"/>
      <c r="D34" s="81" t="s">
        <v>13</v>
      </c>
      <c r="E34" s="117">
        <v>0.05</v>
      </c>
      <c r="F34" s="118"/>
      <c r="G34" s="99"/>
      <c r="H34" s="95"/>
      <c r="I34" s="95"/>
      <c r="J34" s="99"/>
      <c r="K34" s="54"/>
    </row>
    <row r="35" spans="2:11" x14ac:dyDescent="0.25">
      <c r="B35" s="128" t="s">
        <v>1</v>
      </c>
      <c r="C35" s="128" t="s">
        <v>2</v>
      </c>
      <c r="D35" s="129" t="s">
        <v>11</v>
      </c>
      <c r="E35" s="129" t="s">
        <v>28</v>
      </c>
      <c r="F35" s="132"/>
      <c r="G35" s="133"/>
      <c r="H35" s="137" t="s">
        <v>29</v>
      </c>
      <c r="I35" s="138"/>
      <c r="J35" s="139"/>
      <c r="K35" s="54"/>
    </row>
    <row r="36" spans="2:11" x14ac:dyDescent="0.25">
      <c r="B36" s="128"/>
      <c r="C36" s="128"/>
      <c r="D36" s="130"/>
      <c r="E36" s="134"/>
      <c r="F36" s="135"/>
      <c r="G36" s="136"/>
      <c r="H36" s="140"/>
      <c r="I36" s="141"/>
      <c r="J36" s="142"/>
      <c r="K36" s="54"/>
    </row>
    <row r="37" spans="2:11" x14ac:dyDescent="0.25">
      <c r="B37" s="128"/>
      <c r="C37" s="128"/>
      <c r="D37" s="131"/>
      <c r="E37" s="84">
        <f>$H$14</f>
        <v>3</v>
      </c>
      <c r="F37" s="84">
        <f>$I$14</f>
        <v>7</v>
      </c>
      <c r="G37" s="84">
        <f>$J$14</f>
        <v>11</v>
      </c>
      <c r="H37" s="84">
        <f>$H$14</f>
        <v>3</v>
      </c>
      <c r="I37" s="84">
        <f>$I$14</f>
        <v>7</v>
      </c>
      <c r="J37" s="84">
        <f>$J$14</f>
        <v>11</v>
      </c>
      <c r="K37" s="54"/>
    </row>
    <row r="38" spans="2:11" x14ac:dyDescent="0.25">
      <c r="B38" s="107">
        <f>B30</f>
        <v>100</v>
      </c>
      <c r="C38" s="108">
        <f>B38*E$34</f>
        <v>5</v>
      </c>
      <c r="D38" s="109">
        <f>C38*D$13</f>
        <v>32.5</v>
      </c>
      <c r="E38" s="86">
        <f t="shared" ref="E38:J40" si="4">$D38-C22</f>
        <v>18.921919132727808</v>
      </c>
      <c r="F38" s="86">
        <f t="shared" si="4"/>
        <v>5.6819223556988021</v>
      </c>
      <c r="G38" s="86">
        <f t="shared" si="4"/>
        <v>-7.5580744213301969</v>
      </c>
      <c r="H38" s="86">
        <f t="shared" si="4"/>
        <v>6.949247311500411</v>
      </c>
      <c r="I38" s="86">
        <f t="shared" si="4"/>
        <v>-6.2907494655285916</v>
      </c>
      <c r="J38" s="86">
        <f t="shared" si="4"/>
        <v>-19.530746242557591</v>
      </c>
      <c r="K38" s="54"/>
    </row>
    <row r="39" spans="2:11" x14ac:dyDescent="0.25">
      <c r="B39" s="113">
        <f>B31</f>
        <v>200</v>
      </c>
      <c r="C39" s="114">
        <f>B39*E$34</f>
        <v>10</v>
      </c>
      <c r="D39" s="115">
        <f>C39*D$13</f>
        <v>65</v>
      </c>
      <c r="E39" s="89">
        <f t="shared" si="4"/>
        <v>37.843838265455616</v>
      </c>
      <c r="F39" s="89">
        <f t="shared" si="4"/>
        <v>11.363844711397604</v>
      </c>
      <c r="G39" s="89">
        <f t="shared" si="4"/>
        <v>-15.116148842660394</v>
      </c>
      <c r="H39" s="89">
        <f t="shared" si="4"/>
        <v>13.898494623000822</v>
      </c>
      <c r="I39" s="89">
        <f t="shared" si="4"/>
        <v>-12.581498931057183</v>
      </c>
      <c r="J39" s="89">
        <f t="shared" si="4"/>
        <v>-39.061492485115181</v>
      </c>
      <c r="K39" s="54"/>
    </row>
    <row r="40" spans="2:11" x14ac:dyDescent="0.25">
      <c r="B40" s="107">
        <f>B32</f>
        <v>300</v>
      </c>
      <c r="C40" s="108">
        <f>B40*E34</f>
        <v>15</v>
      </c>
      <c r="D40" s="109">
        <f>C40*D$13</f>
        <v>97.5</v>
      </c>
      <c r="E40" s="86">
        <f t="shared" si="4"/>
        <v>56.765757398183418</v>
      </c>
      <c r="F40" s="86">
        <f t="shared" si="4"/>
        <v>17.045767067096406</v>
      </c>
      <c r="G40" s="86">
        <f t="shared" si="4"/>
        <v>-22.674223263990598</v>
      </c>
      <c r="H40" s="86">
        <f t="shared" si="4"/>
        <v>20.847741934501229</v>
      </c>
      <c r="I40" s="86">
        <f t="shared" si="4"/>
        <v>-18.872248396585775</v>
      </c>
      <c r="J40" s="86">
        <f t="shared" si="4"/>
        <v>-58.592238727672765</v>
      </c>
      <c r="K40" s="54"/>
    </row>
    <row r="41" spans="2:11" ht="13" x14ac:dyDescent="0.3">
      <c r="B41" s="119"/>
      <c r="C41" s="120"/>
      <c r="D41" s="121"/>
      <c r="E41" s="122"/>
      <c r="F41" s="122"/>
      <c r="G41" s="122"/>
      <c r="H41" s="122"/>
      <c r="I41" s="122"/>
      <c r="J41" s="122"/>
      <c r="K41" s="54"/>
    </row>
    <row r="42" spans="2:11" ht="13" x14ac:dyDescent="0.3">
      <c r="B42" s="94"/>
      <c r="C42" s="95"/>
      <c r="D42" s="96" t="s">
        <v>14</v>
      </c>
      <c r="E42" s="97">
        <v>0.08</v>
      </c>
      <c r="F42" s="98"/>
      <c r="G42" s="99"/>
      <c r="H42" s="95"/>
      <c r="I42" s="95"/>
      <c r="J42" s="99"/>
      <c r="K42" s="54"/>
    </row>
    <row r="43" spans="2:11" x14ac:dyDescent="0.25">
      <c r="B43" s="128" t="s">
        <v>1</v>
      </c>
      <c r="C43" s="128" t="s">
        <v>2</v>
      </c>
      <c r="D43" s="129" t="s">
        <v>11</v>
      </c>
      <c r="E43" s="129" t="s">
        <v>28</v>
      </c>
      <c r="F43" s="132"/>
      <c r="G43" s="133"/>
      <c r="H43" s="137" t="s">
        <v>29</v>
      </c>
      <c r="I43" s="138"/>
      <c r="J43" s="139"/>
      <c r="K43" s="54"/>
    </row>
    <row r="44" spans="2:11" x14ac:dyDescent="0.25">
      <c r="B44" s="128"/>
      <c r="C44" s="128"/>
      <c r="D44" s="130"/>
      <c r="E44" s="134"/>
      <c r="F44" s="135"/>
      <c r="G44" s="136"/>
      <c r="H44" s="140"/>
      <c r="I44" s="141"/>
      <c r="J44" s="142"/>
      <c r="K44" s="54"/>
    </row>
    <row r="45" spans="2:11" x14ac:dyDescent="0.25">
      <c r="B45" s="128"/>
      <c r="C45" s="128"/>
      <c r="D45" s="131"/>
      <c r="E45" s="84">
        <f>$H$14</f>
        <v>3</v>
      </c>
      <c r="F45" s="84">
        <f>$I$14</f>
        <v>7</v>
      </c>
      <c r="G45" s="84">
        <f>$J$14</f>
        <v>11</v>
      </c>
      <c r="H45" s="84">
        <f>$H$14</f>
        <v>3</v>
      </c>
      <c r="I45" s="84">
        <f>$I$14</f>
        <v>7</v>
      </c>
      <c r="J45" s="84">
        <f>$J$14</f>
        <v>11</v>
      </c>
      <c r="K45" s="54"/>
    </row>
    <row r="46" spans="2:11" x14ac:dyDescent="0.25">
      <c r="B46" s="107">
        <f>B38</f>
        <v>100</v>
      </c>
      <c r="C46" s="108">
        <f>B46*E$42</f>
        <v>8</v>
      </c>
      <c r="D46" s="109">
        <f>C46*D$13</f>
        <v>52</v>
      </c>
      <c r="E46" s="86">
        <f t="shared" ref="E46:J48" si="5">$D46-C22</f>
        <v>38.421919132727808</v>
      </c>
      <c r="F46" s="86">
        <f t="shared" si="5"/>
        <v>25.181922355698802</v>
      </c>
      <c r="G46" s="86">
        <f t="shared" si="5"/>
        <v>11.941925578669803</v>
      </c>
      <c r="H46" s="86">
        <f t="shared" si="5"/>
        <v>26.449247311500411</v>
      </c>
      <c r="I46" s="86">
        <f t="shared" si="5"/>
        <v>13.209250534471408</v>
      </c>
      <c r="J46" s="86">
        <f t="shared" si="5"/>
        <v>-3.074624255759062E-2</v>
      </c>
      <c r="K46" s="54"/>
    </row>
    <row r="47" spans="2:11" x14ac:dyDescent="0.25">
      <c r="B47" s="113">
        <f>B39</f>
        <v>200</v>
      </c>
      <c r="C47" s="114">
        <f>B47*E$42</f>
        <v>16</v>
      </c>
      <c r="D47" s="115">
        <f>C47*D$13</f>
        <v>104</v>
      </c>
      <c r="E47" s="89">
        <f t="shared" si="5"/>
        <v>76.843838265455616</v>
      </c>
      <c r="F47" s="89">
        <f t="shared" si="5"/>
        <v>50.363844711397604</v>
      </c>
      <c r="G47" s="89">
        <f t="shared" si="5"/>
        <v>23.883851157339606</v>
      </c>
      <c r="H47" s="89">
        <f t="shared" si="5"/>
        <v>52.898494623000822</v>
      </c>
      <c r="I47" s="89">
        <f t="shared" si="5"/>
        <v>26.418501068942817</v>
      </c>
      <c r="J47" s="89">
        <f t="shared" si="5"/>
        <v>-6.1492485115181239E-2</v>
      </c>
      <c r="K47" s="54"/>
    </row>
    <row r="48" spans="2:11" x14ac:dyDescent="0.25">
      <c r="B48" s="107">
        <f>B40</f>
        <v>300</v>
      </c>
      <c r="C48" s="108">
        <f>B48*E$42</f>
        <v>24</v>
      </c>
      <c r="D48" s="109">
        <f>C48*D$13</f>
        <v>156</v>
      </c>
      <c r="E48" s="86">
        <f t="shared" si="5"/>
        <v>115.26575739818341</v>
      </c>
      <c r="F48" s="86">
        <f t="shared" si="5"/>
        <v>75.545767067096406</v>
      </c>
      <c r="G48" s="86">
        <f t="shared" si="5"/>
        <v>35.825776736009402</v>
      </c>
      <c r="H48" s="86">
        <f t="shared" si="5"/>
        <v>79.347741934501229</v>
      </c>
      <c r="I48" s="86">
        <f t="shared" si="5"/>
        <v>39.627751603414225</v>
      </c>
      <c r="J48" s="86">
        <f t="shared" si="5"/>
        <v>-9.2238727672764753E-2</v>
      </c>
      <c r="K48" s="54"/>
    </row>
    <row r="49" spans="2:14" ht="13" x14ac:dyDescent="0.3">
      <c r="B49" s="119"/>
      <c r="C49" s="120"/>
      <c r="D49" s="121"/>
      <c r="E49" s="122"/>
      <c r="F49" s="122"/>
      <c r="G49" s="122"/>
      <c r="H49" s="122"/>
      <c r="I49" s="122"/>
      <c r="J49" s="122"/>
      <c r="K49" s="54"/>
      <c r="L49" s="47" t="s">
        <v>89</v>
      </c>
    </row>
    <row r="50" spans="2:14" x14ac:dyDescent="0.25">
      <c r="B50" s="123" t="s">
        <v>80</v>
      </c>
      <c r="C50" s="56"/>
      <c r="L50" s="47" t="s">
        <v>81</v>
      </c>
      <c r="M50" s="124" t="s">
        <v>88</v>
      </c>
      <c r="N50" s="49" t="s">
        <v>83</v>
      </c>
    </row>
    <row r="51" spans="2:14" x14ac:dyDescent="0.25">
      <c r="B51" s="123" t="s">
        <v>79</v>
      </c>
      <c r="C51" s="56"/>
      <c r="L51" s="47" t="s">
        <v>82</v>
      </c>
      <c r="M51" s="124" t="s">
        <v>87</v>
      </c>
      <c r="N51" s="49" t="s">
        <v>84</v>
      </c>
    </row>
    <row r="52" spans="2:14" x14ac:dyDescent="0.25">
      <c r="B52" s="104"/>
      <c r="C52" s="56"/>
      <c r="M52" s="124" t="s">
        <v>86</v>
      </c>
      <c r="N52" s="49" t="s">
        <v>85</v>
      </c>
    </row>
    <row r="53" spans="2:14" x14ac:dyDescent="0.25">
      <c r="B53" s="56" t="s">
        <v>77</v>
      </c>
      <c r="C53" s="56"/>
      <c r="F53" s="125"/>
      <c r="G53" s="125"/>
      <c r="H53" s="125"/>
    </row>
    <row r="54" spans="2:14" x14ac:dyDescent="0.25">
      <c r="B54" s="56" t="s">
        <v>3</v>
      </c>
      <c r="F54" s="125"/>
      <c r="G54" s="125"/>
      <c r="H54" s="125"/>
    </row>
    <row r="55" spans="2:14" x14ac:dyDescent="0.25">
      <c r="B55" s="55" t="s">
        <v>25</v>
      </c>
      <c r="F55" s="125"/>
      <c r="G55" s="125"/>
      <c r="H55" s="125"/>
    </row>
    <row r="56" spans="2:14" x14ac:dyDescent="0.25">
      <c r="B56" s="56" t="s">
        <v>4</v>
      </c>
      <c r="F56" s="125"/>
      <c r="G56" s="125"/>
      <c r="H56" s="125"/>
    </row>
    <row r="57" spans="2:14" x14ac:dyDescent="0.25">
      <c r="B57" s="56" t="s">
        <v>5</v>
      </c>
      <c r="F57" s="125"/>
      <c r="G57" s="125"/>
      <c r="H57" s="125"/>
    </row>
    <row r="58" spans="2:14" x14ac:dyDescent="0.25">
      <c r="B58" s="56" t="s">
        <v>0</v>
      </c>
      <c r="F58" s="125"/>
      <c r="G58" s="125"/>
      <c r="H58" s="125"/>
    </row>
    <row r="59" spans="2:14" x14ac:dyDescent="0.25">
      <c r="B59" s="47" t="s">
        <v>26</v>
      </c>
      <c r="F59" s="125"/>
      <c r="G59" s="125"/>
      <c r="H59" s="125"/>
    </row>
    <row r="60" spans="2:14" x14ac:dyDescent="0.25">
      <c r="B60" s="56" t="s">
        <v>6</v>
      </c>
      <c r="F60" s="125"/>
      <c r="G60" s="125"/>
      <c r="H60" s="125"/>
    </row>
    <row r="62" spans="2:14" ht="12.75" customHeight="1" x14ac:dyDescent="0.25"/>
  </sheetData>
  <sheetProtection algorithmName="SHA-512" hashValue="cVjwST49kFsKCSgpE/bUDWsTRivMi3VWwr4KqhXqpMecUQMf5qZOt8ZGVnZuv8TOTf9vnvcEpcdmJm+c7qeWeg==" saltValue="+ryhitHFCmL56P66eLESYg==" spinCount="100000" sheet="1" objects="1" scenarios="1"/>
  <mergeCells count="22">
    <mergeCell ref="F19:H20"/>
    <mergeCell ref="B35:B37"/>
    <mergeCell ref="C35:C37"/>
    <mergeCell ref="D35:D37"/>
    <mergeCell ref="B27:B29"/>
    <mergeCell ref="C27:C29"/>
    <mergeCell ref="M3:O3"/>
    <mergeCell ref="B43:B45"/>
    <mergeCell ref="C43:C45"/>
    <mergeCell ref="D43:D45"/>
    <mergeCell ref="E43:G44"/>
    <mergeCell ref="H43:J44"/>
    <mergeCell ref="H13:J13"/>
    <mergeCell ref="C18:E18"/>
    <mergeCell ref="F18:H18"/>
    <mergeCell ref="D27:D29"/>
    <mergeCell ref="E27:G28"/>
    <mergeCell ref="H27:J28"/>
    <mergeCell ref="C19:E20"/>
    <mergeCell ref="B19:B21"/>
    <mergeCell ref="E35:G36"/>
    <mergeCell ref="H35:J36"/>
  </mergeCells>
  <phoneticPr fontId="0" type="noConversion"/>
  <pageMargins left="1.01" right="0.75" top="1.5" bottom="1.38" header="0.5" footer="0.75"/>
  <pageSetup orientation="portrait" horizontalDpi="300" verticalDpi="300" r:id="rId1"/>
  <headerFooter alignWithMargins="0">
    <oddHeader xml:space="preserve">&amp;L&amp;G
</oddHead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D3D1-22C9-4D5C-B22D-7E3E53A81D9A}">
  <sheetPr>
    <pageSetUpPr fitToPage="1"/>
  </sheetPr>
  <dimension ref="A1:N54"/>
  <sheetViews>
    <sheetView showGridLines="0" zoomScaleNormal="100" workbookViewId="0">
      <selection activeCell="G11" sqref="G11"/>
    </sheetView>
  </sheetViews>
  <sheetFormatPr defaultRowHeight="12.5" x14ac:dyDescent="0.25"/>
  <cols>
    <col min="1" max="1" width="1.54296875" style="2" customWidth="1"/>
    <col min="2" max="2" width="1.54296875" style="1" customWidth="1"/>
    <col min="3" max="3" width="8.7265625" style="1"/>
    <col min="4" max="4" width="10.1796875" style="1" customWidth="1"/>
    <col min="5" max="5" width="8.7265625" style="1"/>
    <col min="6" max="6" width="10.453125" style="1" customWidth="1"/>
    <col min="7" max="9" width="12.453125" style="1" customWidth="1"/>
    <col min="10" max="10" width="8.7265625" style="1"/>
    <col min="11" max="13" width="12.453125" style="1" customWidth="1"/>
    <col min="14" max="16384" width="8.7265625" style="1"/>
  </cols>
  <sheetData>
    <row r="1" spans="1:14" s="44" customFormat="1" ht="18.5" thickBot="1" x14ac:dyDescent="0.45">
      <c r="C1" s="44" t="s">
        <v>75</v>
      </c>
    </row>
    <row r="2" spans="1:14" ht="14.5" thickTop="1" x14ac:dyDescent="0.3">
      <c r="A2" s="10"/>
      <c r="C2" s="43" t="s">
        <v>74</v>
      </c>
      <c r="E2" s="16"/>
    </row>
    <row r="3" spans="1:14" ht="12.75" customHeight="1" x14ac:dyDescent="0.25">
      <c r="A3" s="10"/>
      <c r="C3" s="162" t="s">
        <v>73</v>
      </c>
      <c r="D3" s="162"/>
      <c r="E3" s="162"/>
      <c r="F3" s="162"/>
      <c r="G3" s="162"/>
      <c r="H3" s="162"/>
      <c r="I3" s="162"/>
      <c r="J3" s="42"/>
      <c r="K3" s="42"/>
      <c r="L3" s="42"/>
    </row>
    <row r="4" spans="1:14" x14ac:dyDescent="0.25">
      <c r="A4" s="10"/>
    </row>
    <row r="5" spans="1:14" x14ac:dyDescent="0.25">
      <c r="A5" s="10"/>
      <c r="C5" s="166" t="s">
        <v>72</v>
      </c>
      <c r="D5" s="166"/>
      <c r="E5" s="166"/>
      <c r="F5" s="166"/>
      <c r="G5" s="166"/>
      <c r="H5" s="41"/>
      <c r="I5" s="41"/>
    </row>
    <row r="6" spans="1:14" x14ac:dyDescent="0.25">
      <c r="A6" s="10"/>
      <c r="C6" s="167" t="s">
        <v>71</v>
      </c>
      <c r="D6" s="168"/>
      <c r="E6" s="168"/>
      <c r="F6" s="169"/>
    </row>
    <row r="7" spans="1:14" x14ac:dyDescent="0.25">
      <c r="A7" s="10"/>
      <c r="C7" s="40"/>
      <c r="D7" s="40"/>
      <c r="E7" s="40"/>
      <c r="F7" s="40"/>
    </row>
    <row r="8" spans="1:14" ht="14" x14ac:dyDescent="0.3">
      <c r="A8" s="10"/>
      <c r="C8" s="40"/>
      <c r="D8" s="40"/>
      <c r="E8" s="40"/>
      <c r="F8" s="40"/>
      <c r="G8" s="157" t="s">
        <v>70</v>
      </c>
      <c r="H8" s="157"/>
      <c r="I8" s="157"/>
      <c r="K8" s="157" t="s">
        <v>69</v>
      </c>
      <c r="L8" s="157"/>
      <c r="M8" s="157"/>
    </row>
    <row r="9" spans="1:14" x14ac:dyDescent="0.25">
      <c r="A9" s="10"/>
      <c r="C9" s="158" t="s">
        <v>68</v>
      </c>
      <c r="D9" s="158"/>
      <c r="G9" s="159" t="s">
        <v>33</v>
      </c>
      <c r="H9" s="160"/>
      <c r="I9" s="161"/>
      <c r="J9" s="39">
        <f>MATCH(G9,C48:C53,1)</f>
        <v>6</v>
      </c>
      <c r="K9" s="159" t="s">
        <v>34</v>
      </c>
      <c r="L9" s="160"/>
      <c r="M9" s="161"/>
      <c r="N9" s="39">
        <f>MATCH(K9,C48:C53,1)</f>
        <v>5</v>
      </c>
    </row>
    <row r="10" spans="1:14" x14ac:dyDescent="0.25">
      <c r="A10" s="10"/>
      <c r="C10" s="38"/>
      <c r="D10" s="38"/>
      <c r="G10" s="37"/>
      <c r="K10" s="37"/>
    </row>
    <row r="11" spans="1:14" x14ac:dyDescent="0.25">
      <c r="A11" s="10"/>
      <c r="C11" s="1" t="s">
        <v>67</v>
      </c>
      <c r="G11" s="36">
        <f>Main!D14</f>
        <v>2</v>
      </c>
      <c r="K11" s="36">
        <f>Main!D14</f>
        <v>2</v>
      </c>
    </row>
    <row r="12" spans="1:14" x14ac:dyDescent="0.25">
      <c r="A12" s="10"/>
      <c r="C12" s="1" t="s">
        <v>66</v>
      </c>
      <c r="G12" s="36">
        <v>0.11</v>
      </c>
      <c r="K12" s="36">
        <v>0.11</v>
      </c>
    </row>
    <row r="13" spans="1:14" x14ac:dyDescent="0.25">
      <c r="A13" s="10"/>
      <c r="C13" s="1" t="s">
        <v>65</v>
      </c>
      <c r="G13" s="35">
        <v>0.06</v>
      </c>
      <c r="K13" s="35">
        <v>0.06</v>
      </c>
    </row>
    <row r="14" spans="1:14" x14ac:dyDescent="0.25">
      <c r="A14" s="10"/>
      <c r="C14" s="1" t="s">
        <v>64</v>
      </c>
      <c r="G14" s="36">
        <v>15</v>
      </c>
      <c r="K14" s="36">
        <v>15</v>
      </c>
    </row>
    <row r="15" spans="1:14" x14ac:dyDescent="0.25">
      <c r="A15" s="10"/>
      <c r="C15" s="1" t="s">
        <v>63</v>
      </c>
      <c r="G15" s="35">
        <v>0.1</v>
      </c>
      <c r="K15" s="35">
        <v>0.1</v>
      </c>
    </row>
    <row r="16" spans="1:14" x14ac:dyDescent="0.25">
      <c r="A16" s="10"/>
      <c r="C16" s="1" t="s">
        <v>62</v>
      </c>
      <c r="G16" s="34">
        <v>1000</v>
      </c>
      <c r="K16" s="34">
        <v>1000</v>
      </c>
    </row>
    <row r="17" spans="1:13" x14ac:dyDescent="0.25">
      <c r="A17" s="10"/>
      <c r="C17" s="1" t="s">
        <v>61</v>
      </c>
      <c r="G17" s="33">
        <v>0.19</v>
      </c>
      <c r="K17" s="33">
        <v>0.27</v>
      </c>
    </row>
    <row r="18" spans="1:13" x14ac:dyDescent="0.25">
      <c r="A18" s="10"/>
      <c r="C18" s="1" t="s">
        <v>60</v>
      </c>
      <c r="G18" s="33">
        <v>0.16</v>
      </c>
      <c r="I18" s="32"/>
      <c r="K18" s="33">
        <v>0.16</v>
      </c>
      <c r="M18" s="32"/>
    </row>
    <row r="19" spans="1:13" x14ac:dyDescent="0.25">
      <c r="A19" s="10"/>
      <c r="C19" s="1" t="s">
        <v>59</v>
      </c>
      <c r="G19" s="31">
        <v>100000</v>
      </c>
      <c r="K19" s="31">
        <v>100000</v>
      </c>
    </row>
    <row r="20" spans="1:13" x14ac:dyDescent="0.25">
      <c r="A20" s="10"/>
      <c r="C20" s="1" t="s">
        <v>58</v>
      </c>
      <c r="G20" s="30">
        <v>100000</v>
      </c>
      <c r="K20" s="30">
        <v>100000</v>
      </c>
    </row>
    <row r="21" spans="1:13" x14ac:dyDescent="0.25">
      <c r="A21" s="10"/>
    </row>
    <row r="22" spans="1:13" ht="13" x14ac:dyDescent="0.3">
      <c r="A22" s="10"/>
      <c r="G22" s="29" t="s">
        <v>57</v>
      </c>
      <c r="H22" s="29" t="s">
        <v>56</v>
      </c>
      <c r="I22" s="28" t="s">
        <v>55</v>
      </c>
      <c r="K22" s="29" t="s">
        <v>57</v>
      </c>
      <c r="L22" s="29" t="s">
        <v>56</v>
      </c>
      <c r="M22" s="28" t="s">
        <v>55</v>
      </c>
    </row>
    <row r="23" spans="1:13" x14ac:dyDescent="0.25">
      <c r="A23" s="10"/>
      <c r="C23" s="1" t="s">
        <v>54</v>
      </c>
      <c r="G23" s="21">
        <f t="shared" ref="G23:G28" si="0">G$19*H23</f>
        <v>7822.6718212273972</v>
      </c>
      <c r="H23" s="26">
        <f>IF(G19&gt;0,PMT(G13,25,-G20)/G19,0)</f>
        <v>7.8226718212273977E-2</v>
      </c>
      <c r="I23" s="25">
        <f t="shared" ref="I23:I28" si="1">IF((G$17-G$18)&gt;0,0.01*H23/(G$17-G$18),0)</f>
        <v>2.6075572737424658E-2</v>
      </c>
      <c r="K23" s="21">
        <f t="shared" ref="K23:K28" si="2">K$19*L23</f>
        <v>7822.6718212273972</v>
      </c>
      <c r="L23" s="26">
        <f>IF(K19&gt;0,PMT(K13,25,-K20)/K19,0)</f>
        <v>7.8226718212273977E-2</v>
      </c>
      <c r="M23" s="25">
        <f t="shared" ref="M23:M28" si="3">IF((K$17-K$18)&gt;0,0.01*L23/(K$17-K$18),0)</f>
        <v>7.1115198374794514E-3</v>
      </c>
    </row>
    <row r="24" spans="1:13" x14ac:dyDescent="0.25">
      <c r="A24" s="10"/>
      <c r="C24" s="1" t="s">
        <v>53</v>
      </c>
      <c r="G24" s="21">
        <f t="shared" si="0"/>
        <v>3000</v>
      </c>
      <c r="H24" s="27">
        <f>IF(G19&gt;0,0.03*G20/G19,0)</f>
        <v>0.03</v>
      </c>
      <c r="I24" s="25">
        <f t="shared" si="1"/>
        <v>0.01</v>
      </c>
      <c r="K24" s="21">
        <f t="shared" si="2"/>
        <v>3000</v>
      </c>
      <c r="L24" s="27">
        <f>IF(K19&gt;0,0.03*K20/K19,0)</f>
        <v>0.03</v>
      </c>
      <c r="M24" s="25">
        <f t="shared" si="3"/>
        <v>2.7272727272727266E-3</v>
      </c>
    </row>
    <row r="25" spans="1:13" x14ac:dyDescent="0.25">
      <c r="A25" s="10"/>
      <c r="C25" s="1" t="s">
        <v>52</v>
      </c>
      <c r="G25" s="21">
        <f t="shared" si="0"/>
        <v>13229.999999999998</v>
      </c>
      <c r="H25" s="26">
        <f>IF(J9,CHOOSE(J9,0,0.5,0.98,0.98,0.96,0.98)*CHOOSE(J9,G48,G49,G50,G51,G52,G53)*0.72*(G17-G18)*G11/800,0)</f>
        <v>0.13229999999999997</v>
      </c>
      <c r="I25" s="25">
        <f t="shared" si="1"/>
        <v>4.4099999999999993E-2</v>
      </c>
      <c r="K25" s="21">
        <f t="shared" si="2"/>
        <v>38016</v>
      </c>
      <c r="L25" s="26">
        <f>IF(N9,CHOOSE(N9,0,0.5,0.98,0.98,0.96,0.98)*CHOOSE(N9,G48,G49,G50,G51,G52,G53)*0.72*(K17-K18)*K11/800,0)</f>
        <v>0.38016</v>
      </c>
      <c r="M25" s="25">
        <f t="shared" si="3"/>
        <v>3.4559999999999994E-2</v>
      </c>
    </row>
    <row r="26" spans="1:13" x14ac:dyDescent="0.25">
      <c r="A26" s="10"/>
      <c r="C26" s="1" t="s">
        <v>51</v>
      </c>
      <c r="G26" s="21">
        <f t="shared" si="0"/>
        <v>348.08086727219455</v>
      </c>
      <c r="H26" s="26">
        <f>IF(J9,CHOOSE(J9,0.5,0.5,0.02,0.02,0.04,0.02)*CHOOSE(J9,G48,G49,G50,G51,G52,G53)*0.72*(G17-G18)*100*G12/3413,0)</f>
        <v>3.4808086727219456E-3</v>
      </c>
      <c r="I26" s="25">
        <f t="shared" si="1"/>
        <v>1.160269557573982E-3</v>
      </c>
      <c r="K26" s="21">
        <f t="shared" si="2"/>
        <v>2042.0744213302078</v>
      </c>
      <c r="L26" s="26">
        <f>IF(N9,CHOOSE(N9,0.5,0.5,0.02,0.02,0.04,0.02)*CHOOSE(N9,G48,G49,G50,G51,G52,G53)*0.72*(K17-K18)*100*K12/3413,0)</f>
        <v>2.0420744213302078E-2</v>
      </c>
      <c r="M26" s="25">
        <f t="shared" si="3"/>
        <v>1.8564312921183707E-3</v>
      </c>
    </row>
    <row r="27" spans="1:13" x14ac:dyDescent="0.25">
      <c r="A27" s="10"/>
      <c r="C27" s="1" t="s">
        <v>50</v>
      </c>
      <c r="G27" s="21">
        <f t="shared" si="0"/>
        <v>1000</v>
      </c>
      <c r="H27" s="26">
        <f>IF(SUM(G11:G20)&gt;0,0.01,0)</f>
        <v>0.01</v>
      </c>
      <c r="I27" s="25">
        <f t="shared" si="1"/>
        <v>3.3333333333333335E-3</v>
      </c>
      <c r="K27" s="21">
        <f t="shared" si="2"/>
        <v>1000</v>
      </c>
      <c r="L27" s="26">
        <f>IF(SUM(K11:K20)&gt;0,0.01,0)</f>
        <v>0.01</v>
      </c>
      <c r="M27" s="25">
        <f t="shared" si="3"/>
        <v>9.0909090909090898E-4</v>
      </c>
    </row>
    <row r="28" spans="1:13" ht="14" x14ac:dyDescent="0.4">
      <c r="A28" s="10"/>
      <c r="C28" s="1" t="s">
        <v>49</v>
      </c>
      <c r="G28" s="24">
        <f t="shared" si="0"/>
        <v>150</v>
      </c>
      <c r="H28" s="23">
        <f>IF(G16&gt;0,G14*G15/G16,0)</f>
        <v>1.5E-3</v>
      </c>
      <c r="I28" s="22">
        <f t="shared" si="1"/>
        <v>5.0000000000000001E-4</v>
      </c>
      <c r="K28" s="24">
        <f t="shared" si="2"/>
        <v>150</v>
      </c>
      <c r="L28" s="23">
        <f>IF(K16&gt;0,K14*K15/K16,0)</f>
        <v>1.5E-3</v>
      </c>
      <c r="M28" s="22">
        <f t="shared" si="3"/>
        <v>1.3636363636363634E-4</v>
      </c>
    </row>
    <row r="29" spans="1:13" x14ac:dyDescent="0.25">
      <c r="A29" s="10"/>
      <c r="G29" s="21"/>
      <c r="H29" s="20"/>
      <c r="I29" s="20"/>
      <c r="K29" s="21"/>
      <c r="L29" s="20"/>
      <c r="M29" s="20"/>
    </row>
    <row r="30" spans="1:13" ht="13" x14ac:dyDescent="0.3">
      <c r="A30" s="10"/>
      <c r="C30" s="16" t="s">
        <v>48</v>
      </c>
      <c r="G30" s="19">
        <f>G$19*H30</f>
        <v>25550.75268849959</v>
      </c>
      <c r="H30" s="18">
        <f>SUM(H23:H28)</f>
        <v>0.25550752688499589</v>
      </c>
      <c r="I30" s="18">
        <f>SUM(I23:I28)</f>
        <v>8.5169175628331956E-2</v>
      </c>
      <c r="K30" s="19">
        <f>K$19*L30</f>
        <v>52030.746242557601</v>
      </c>
      <c r="L30" s="18">
        <f>SUM(L23:L28)</f>
        <v>0.52030746242557602</v>
      </c>
      <c r="M30" s="18">
        <f>SUM(M23:M28)</f>
        <v>4.7300678402325082E-2</v>
      </c>
    </row>
    <row r="33" spans="1:11" ht="13" x14ac:dyDescent="0.3">
      <c r="A33" s="10"/>
      <c r="C33" s="17" t="s">
        <v>47</v>
      </c>
      <c r="D33" s="16"/>
      <c r="E33" s="16"/>
    </row>
    <row r="34" spans="1:11" x14ac:dyDescent="0.25">
      <c r="A34" s="10"/>
      <c r="C34" s="15" t="s">
        <v>46</v>
      </c>
    </row>
    <row r="35" spans="1:11" x14ac:dyDescent="0.25">
      <c r="A35" s="10"/>
      <c r="C35" s="14" t="s">
        <v>45</v>
      </c>
      <c r="E35" s="170">
        <f ca="1">TODAY()</f>
        <v>44810</v>
      </c>
      <c r="F35" s="170"/>
    </row>
    <row r="36" spans="1:11" ht="13" x14ac:dyDescent="0.3">
      <c r="A36" s="10"/>
      <c r="H36" s="13"/>
    </row>
    <row r="37" spans="1:11" x14ac:dyDescent="0.25">
      <c r="A37" s="10"/>
    </row>
    <row r="38" spans="1:11" x14ac:dyDescent="0.25">
      <c r="A38" s="10"/>
      <c r="C38" s="12" t="s">
        <v>44</v>
      </c>
      <c r="D38" s="11"/>
      <c r="E38" s="11"/>
      <c r="F38" s="11"/>
      <c r="G38" s="11"/>
      <c r="H38" s="11"/>
      <c r="I38" s="11"/>
      <c r="J38" s="11"/>
      <c r="K38" s="11"/>
    </row>
    <row r="39" spans="1:11" ht="13.5" customHeight="1" x14ac:dyDescent="0.25">
      <c r="A39" s="10"/>
      <c r="C39" s="171" t="s">
        <v>43</v>
      </c>
      <c r="D39" s="171"/>
      <c r="E39" s="171"/>
      <c r="F39" s="171"/>
      <c r="G39" s="171"/>
      <c r="H39" s="171"/>
      <c r="I39" s="171"/>
      <c r="J39" s="171"/>
      <c r="K39" s="9"/>
    </row>
    <row r="40" spans="1:11" ht="21.75" customHeight="1" x14ac:dyDescent="0.25">
      <c r="A40" s="10"/>
      <c r="C40" s="171"/>
      <c r="D40" s="171"/>
      <c r="E40" s="171"/>
      <c r="F40" s="171"/>
      <c r="G40" s="171"/>
      <c r="H40" s="171"/>
      <c r="I40" s="171"/>
      <c r="J40" s="171"/>
      <c r="K40" s="9"/>
    </row>
    <row r="41" spans="1:11" ht="18" customHeight="1" x14ac:dyDescent="0.25">
      <c r="A41" s="10"/>
      <c r="C41" s="171" t="s">
        <v>42</v>
      </c>
      <c r="D41" s="171"/>
      <c r="E41" s="171"/>
      <c r="F41" s="171"/>
      <c r="G41" s="171"/>
      <c r="H41" s="171"/>
      <c r="I41" s="171"/>
      <c r="J41" s="171"/>
      <c r="K41" s="9"/>
    </row>
    <row r="44" spans="1:11" ht="12.75" customHeight="1" x14ac:dyDescent="0.25">
      <c r="C44" s="8"/>
      <c r="D44" s="7"/>
      <c r="E44" s="7"/>
      <c r="F44" s="7"/>
      <c r="G44" s="172" t="s">
        <v>41</v>
      </c>
      <c r="H44" s="174" t="s">
        <v>40</v>
      </c>
    </row>
    <row r="45" spans="1:11" x14ac:dyDescent="0.25">
      <c r="C45" s="6" t="s">
        <v>39</v>
      </c>
      <c r="G45" s="173"/>
      <c r="H45" s="175"/>
    </row>
    <row r="46" spans="1:11" x14ac:dyDescent="0.25">
      <c r="C46" s="6"/>
      <c r="G46" s="173"/>
      <c r="H46" s="175"/>
    </row>
    <row r="47" spans="1:11" x14ac:dyDescent="0.25">
      <c r="C47" s="6"/>
      <c r="G47" s="173"/>
      <c r="H47" s="175"/>
    </row>
    <row r="48" spans="1:11" x14ac:dyDescent="0.25">
      <c r="C48" s="5" t="s">
        <v>38</v>
      </c>
      <c r="G48" s="4">
        <v>1200</v>
      </c>
      <c r="H48" s="3">
        <v>0.5</v>
      </c>
    </row>
    <row r="49" spans="3:8" x14ac:dyDescent="0.25">
      <c r="C49" s="5" t="s">
        <v>37</v>
      </c>
      <c r="G49" s="4">
        <v>1500</v>
      </c>
      <c r="H49" s="3">
        <v>0.5</v>
      </c>
    </row>
    <row r="50" spans="3:8" x14ac:dyDescent="0.25">
      <c r="C50" s="5" t="s">
        <v>36</v>
      </c>
      <c r="G50" s="4">
        <v>1800</v>
      </c>
      <c r="H50" s="3">
        <v>0.02</v>
      </c>
    </row>
    <row r="51" spans="3:8" x14ac:dyDescent="0.25">
      <c r="C51" s="5" t="s">
        <v>35</v>
      </c>
      <c r="G51" s="4">
        <v>1800</v>
      </c>
      <c r="H51" s="3">
        <v>0.02</v>
      </c>
    </row>
    <row r="52" spans="3:8" x14ac:dyDescent="0.25">
      <c r="C52" s="5" t="s">
        <v>34</v>
      </c>
      <c r="G52" s="4">
        <v>2000</v>
      </c>
      <c r="H52" s="3">
        <v>0.04</v>
      </c>
    </row>
    <row r="53" spans="3:8" x14ac:dyDescent="0.25">
      <c r="C53" s="5" t="s">
        <v>33</v>
      </c>
      <c r="G53" s="4">
        <v>2500</v>
      </c>
      <c r="H53" s="3">
        <v>0.02</v>
      </c>
    </row>
    <row r="54" spans="3:8" x14ac:dyDescent="0.25">
      <c r="C54" s="163" t="s">
        <v>32</v>
      </c>
      <c r="D54" s="164"/>
      <c r="E54" s="164"/>
      <c r="F54" s="164"/>
      <c r="G54" s="164"/>
      <c r="H54" s="165"/>
    </row>
  </sheetData>
  <sheetProtection sheet="1" objects="1" scenarios="1"/>
  <mergeCells count="14">
    <mergeCell ref="C54:H54"/>
    <mergeCell ref="C5:G5"/>
    <mergeCell ref="C6:F6"/>
    <mergeCell ref="G8:I8"/>
    <mergeCell ref="E35:F35"/>
    <mergeCell ref="C39:J40"/>
    <mergeCell ref="C41:J41"/>
    <mergeCell ref="G44:G47"/>
    <mergeCell ref="H44:H47"/>
    <mergeCell ref="K8:M8"/>
    <mergeCell ref="C9:D9"/>
    <mergeCell ref="G9:I9"/>
    <mergeCell ref="K9:M9"/>
    <mergeCell ref="C3:I3"/>
  </mergeCells>
  <dataValidations count="5">
    <dataValidation allowBlank="1" showInputMessage="1" showErrorMessage="1" prompt="Insert number for type of drying system that corresponds to the table to the right." sqref="G10 K10" xr:uid="{00000000-0002-0000-0100-000004000000}"/>
    <dataValidation type="list" allowBlank="1" showInputMessage="1" showErrorMessage="1" prompt="Select type of drying system from the pull down menu." sqref="G9:I9 K9:M9" xr:uid="{00000000-0002-0000-0100-000003000000}">
      <formula1>$C$48:$C$53</formula1>
    </dataValidation>
    <dataValidation allowBlank="1" showInputMessage="1" showErrorMessage="1" prompt="Initial cost of drying system, excluding bins used for storage." sqref="G20 K20" xr:uid="{00000000-0002-0000-0100-000002000000}"/>
    <dataValidation allowBlank="1" showInputMessage="1" showErrorMessage="1" prompt="Divide the hours that a person is needed to operate the drying system by the total hours the system is in use." sqref="G15 K15" xr:uid="{00000000-0002-0000-0100-000001000000}"/>
    <dataValidation allowBlank="1" showInputMessage="1" showErrorMessage="1" prompt="Use rate paid to hired labor, or estimated value of operator labor." sqref="G14 K14" xr:uid="{00000000-0002-0000-0100-000000000000}"/>
  </dataValidations>
  <hyperlinks>
    <hyperlink ref="C34" r:id="rId1" xr:uid="{B3E20E75-C757-46BE-9C94-FEE7F26479BC}"/>
    <hyperlink ref="C9:D9" location="Example!C53" display="Type of drying system" xr:uid="{D542D6DA-2A11-4F25-98D4-140BE9E14FB6}"/>
    <hyperlink ref="C3:E3" r:id="rId2" display="Estimating the Field Capacity of Farm Machines" xr:uid="{E6E583C3-C08F-4FFC-9816-1678EBC882F5}"/>
    <hyperlink ref="C3" r:id="rId3" display="Link to Information File here." xr:uid="{7039058D-6457-46B2-A5CB-9ADD6BBFCBB5}"/>
    <hyperlink ref="C3:H3" r:id="rId4" display="See Estimating The Cost for Drying Corn for more information." xr:uid="{B765D228-1DEE-40EC-A0D6-9B386DF11662}"/>
  </hyperlinks>
  <pageMargins left="0.75" right="0.75" top="0.75" bottom="0.75" header="0.5" footer="0.5"/>
  <pageSetup scale="95" orientation="landscape" r:id="rId5"/>
  <headerFooter alignWithMargins="0">
    <oddHeader>&amp;LIowa State University Extension and Outreach&amp;RAg Decision Maker Decision Tool A2-31</oddHeader>
  </headerFooter>
  <drawing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2B5D-4962-4294-8FFA-E7633EB4770D}">
  <dimension ref="A1"/>
  <sheetViews>
    <sheetView zoomScale="75" zoomScaleNormal="75" workbookViewId="0"/>
  </sheetViews>
  <sheetFormatPr defaultRowHeight="12.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Main</vt:lpstr>
      <vt:lpstr>ISU Drying$</vt:lpstr>
      <vt:lpstr>Graphs</vt:lpstr>
      <vt:lpstr>'ISU Drying$'!Print_Area</vt:lpstr>
      <vt:lpstr>Main!Print_Area</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G. McNeill</dc:creator>
  <cp:lastModifiedBy>Author</cp:lastModifiedBy>
  <cp:lastPrinted>2022-09-02T19:41:54Z</cp:lastPrinted>
  <dcterms:created xsi:type="dcterms:W3CDTF">1998-08-26T19:14:35Z</dcterms:created>
  <dcterms:modified xsi:type="dcterms:W3CDTF">2022-09-06T13:41:03Z</dcterms:modified>
</cp:coreProperties>
</file>